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225"/>
  <workbookPr autoCompressPictures="0"/>
  <bookViews>
    <workbookView xWindow="2380" yWindow="460" windowWidth="25600" windowHeight="14980" tabRatio="500"/>
  </bookViews>
  <sheets>
    <sheet name="Order Sheet" sheetId="1" r:id="rId1"/>
  </sheets>
  <definedNames>
    <definedName name="Amendments">"Picture 28"</definedName>
    <definedName name="Fabrics">'Order Sheet'!$A$163</definedName>
    <definedName name="FarmSeed">"Picture 27"</definedName>
    <definedName name="FieldSupply">"Picture 24"</definedName>
    <definedName name="Irrigation">"Picture 26"</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I26" i="1" l="1"/>
  <c r="I27" i="1"/>
  <c r="I28" i="1"/>
  <c r="I29" i="1"/>
  <c r="I31" i="1"/>
  <c r="I32" i="1"/>
  <c r="I33" i="1"/>
  <c r="I35" i="1"/>
  <c r="I36" i="1"/>
  <c r="I37" i="1"/>
  <c r="I39" i="1"/>
  <c r="I40" i="1"/>
  <c r="I41" i="1"/>
  <c r="I43" i="1"/>
  <c r="I44" i="1"/>
  <c r="I45" i="1"/>
  <c r="I46" i="1"/>
  <c r="I47" i="1"/>
  <c r="I48" i="1"/>
  <c r="I49" i="1"/>
  <c r="I50" i="1"/>
  <c r="I51" i="1"/>
  <c r="I52" i="1"/>
  <c r="I53" i="1"/>
  <c r="I54" i="1"/>
  <c r="I55" i="1"/>
  <c r="I57" i="1"/>
  <c r="I58" i="1"/>
  <c r="I59" i="1"/>
  <c r="I60" i="1"/>
  <c r="I61" i="1"/>
  <c r="I62" i="1"/>
  <c r="I63" i="1"/>
  <c r="L64" i="1"/>
  <c r="N64" i="1"/>
  <c r="F64" i="1"/>
  <c r="I64" i="1"/>
  <c r="L65" i="1"/>
  <c r="N65" i="1"/>
  <c r="F65" i="1"/>
  <c r="I65" i="1"/>
  <c r="I66" i="1"/>
  <c r="I67" i="1"/>
  <c r="I68" i="1"/>
  <c r="L69" i="1"/>
  <c r="N69" i="1"/>
  <c r="F69" i="1"/>
  <c r="I69" i="1"/>
  <c r="I70" i="1"/>
  <c r="I71" i="1"/>
  <c r="I73" i="1"/>
  <c r="I74" i="1"/>
  <c r="I75" i="1"/>
  <c r="I76" i="1"/>
  <c r="I77" i="1"/>
  <c r="I78" i="1"/>
  <c r="I79" i="1"/>
  <c r="I80" i="1"/>
  <c r="I81" i="1"/>
  <c r="I82" i="1"/>
  <c r="I83" i="1"/>
  <c r="I84" i="1"/>
  <c r="I85" i="1"/>
  <c r="I87" i="1"/>
  <c r="I88" i="1"/>
  <c r="I89" i="1"/>
  <c r="I90" i="1"/>
  <c r="I91" i="1"/>
  <c r="I92" i="1"/>
  <c r="I93" i="1"/>
  <c r="I94" i="1"/>
  <c r="I95" i="1"/>
  <c r="I96" i="1"/>
  <c r="I97" i="1"/>
  <c r="I98" i="1"/>
  <c r="I99" i="1"/>
  <c r="I100" i="1"/>
  <c r="I101" i="1"/>
  <c r="I102" i="1"/>
  <c r="I106" i="1"/>
  <c r="I107" i="1"/>
  <c r="I108" i="1"/>
  <c r="I109" i="1"/>
  <c r="I111" i="1"/>
  <c r="I112" i="1"/>
  <c r="I113" i="1"/>
  <c r="I114" i="1"/>
  <c r="I117" i="1"/>
  <c r="I118" i="1"/>
  <c r="I119" i="1"/>
  <c r="I120" i="1"/>
  <c r="I121" i="1"/>
  <c r="I122" i="1"/>
  <c r="I126" i="1"/>
  <c r="I127" i="1"/>
  <c r="I128" i="1"/>
  <c r="I129" i="1"/>
  <c r="I131" i="1"/>
  <c r="I132" i="1"/>
  <c r="I134" i="1"/>
  <c r="I135" i="1"/>
  <c r="I136" i="1"/>
  <c r="I137" i="1"/>
  <c r="I138" i="1"/>
  <c r="I139" i="1"/>
  <c r="I141" i="1"/>
  <c r="I142" i="1"/>
  <c r="I143" i="1"/>
  <c r="I144" i="1"/>
  <c r="I147" i="1"/>
  <c r="I148" i="1"/>
  <c r="I149" i="1"/>
  <c r="I150" i="1"/>
  <c r="I151" i="1"/>
  <c r="I152" i="1"/>
  <c r="I153" i="1"/>
  <c r="I155" i="1"/>
  <c r="I156" i="1"/>
  <c r="I158" i="1"/>
  <c r="I159" i="1"/>
  <c r="I160" i="1"/>
  <c r="I161" i="1"/>
  <c r="I164" i="1"/>
  <c r="I167" i="1"/>
  <c r="I168" i="1"/>
  <c r="I169" i="1"/>
  <c r="I170" i="1"/>
  <c r="I171" i="1"/>
  <c r="I172" i="1"/>
  <c r="I173" i="1"/>
  <c r="I174" i="1"/>
  <c r="I177" i="1"/>
  <c r="I178" i="1"/>
  <c r="I179" i="1"/>
  <c r="I180" i="1"/>
  <c r="I181" i="1"/>
  <c r="I182" i="1"/>
  <c r="I183" i="1"/>
  <c r="I184" i="1"/>
  <c r="I185" i="1"/>
  <c r="I188" i="1"/>
  <c r="I189" i="1"/>
  <c r="I190" i="1"/>
  <c r="I191" i="1"/>
  <c r="I192" i="1"/>
  <c r="I195" i="1"/>
  <c r="I196" i="1"/>
  <c r="I197" i="1"/>
  <c r="I198" i="1"/>
  <c r="I199" i="1"/>
  <c r="I200" i="1"/>
  <c r="I201" i="1"/>
  <c r="I203" i="1"/>
  <c r="I206" i="1"/>
  <c r="I207" i="1"/>
  <c r="I208" i="1"/>
  <c r="I211" i="1"/>
  <c r="I212" i="1"/>
  <c r="I214" i="1"/>
  <c r="I215" i="1"/>
  <c r="I217" i="1"/>
  <c r="I218" i="1"/>
  <c r="I219" i="1"/>
  <c r="I220" i="1"/>
  <c r="I221" i="1"/>
  <c r="I222" i="1"/>
  <c r="I224" i="1"/>
  <c r="I225" i="1"/>
  <c r="I226" i="1"/>
  <c r="I227" i="1"/>
  <c r="I228" i="1"/>
  <c r="I229" i="1"/>
  <c r="I230" i="1"/>
  <c r="I231" i="1"/>
  <c r="I232" i="1"/>
  <c r="I234" i="1"/>
  <c r="I235" i="1"/>
  <c r="I242" i="1"/>
  <c r="I243" i="1"/>
  <c r="I244" i="1"/>
  <c r="I245" i="1"/>
  <c r="I249" i="1"/>
  <c r="I250" i="1"/>
  <c r="I251" i="1"/>
  <c r="I252" i="1"/>
  <c r="I253" i="1"/>
  <c r="I254" i="1"/>
  <c r="I257" i="1"/>
  <c r="I258" i="1"/>
  <c r="I260" i="1"/>
  <c r="I261" i="1"/>
  <c r="I264" i="1"/>
  <c r="I265" i="1"/>
  <c r="I266" i="1"/>
  <c r="I267" i="1"/>
  <c r="I268" i="1"/>
  <c r="I269" i="1"/>
  <c r="I270" i="1"/>
  <c r="K271" i="1"/>
  <c r="N271" i="1"/>
  <c r="F271" i="1"/>
  <c r="I271" i="1"/>
  <c r="I272" i="1"/>
  <c r="I273" i="1"/>
  <c r="I274" i="1"/>
  <c r="I275" i="1"/>
  <c r="K276" i="1"/>
  <c r="N276" i="1"/>
  <c r="F276" i="1"/>
  <c r="I276" i="1"/>
  <c r="K277" i="1"/>
  <c r="N277" i="1"/>
  <c r="F277" i="1"/>
  <c r="I277" i="1"/>
  <c r="K278" i="1"/>
  <c r="N278" i="1"/>
  <c r="F278" i="1"/>
  <c r="I278" i="1"/>
  <c r="K279" i="1"/>
  <c r="N279" i="1"/>
  <c r="F279" i="1"/>
  <c r="I279" i="1"/>
  <c r="I280" i="1"/>
  <c r="I281" i="1"/>
  <c r="I283" i="1"/>
  <c r="I284" i="1"/>
  <c r="I285" i="1"/>
  <c r="I286" i="1"/>
  <c r="I287" i="1"/>
  <c r="I288" i="1"/>
  <c r="I289" i="1"/>
  <c r="I290" i="1"/>
  <c r="I291" i="1"/>
  <c r="I292" i="1"/>
  <c r="I293" i="1"/>
  <c r="I294" i="1"/>
  <c r="I302" i="1"/>
  <c r="I303" i="1"/>
  <c r="I304" i="1"/>
  <c r="I305" i="1"/>
  <c r="I306" i="1"/>
  <c r="I307" i="1"/>
  <c r="I3" i="1"/>
  <c r="N294" i="1"/>
  <c r="P294" i="1"/>
  <c r="Q294" i="1"/>
  <c r="K293" i="1"/>
  <c r="N293" i="1"/>
  <c r="P293" i="1"/>
  <c r="Q293" i="1"/>
  <c r="C293" i="1"/>
  <c r="G293" i="1"/>
  <c r="O293" i="1"/>
  <c r="M293" i="1"/>
  <c r="J293" i="1"/>
  <c r="H293" i="1"/>
  <c r="K292" i="1"/>
  <c r="N292" i="1"/>
  <c r="P292" i="1"/>
  <c r="Q292" i="1"/>
  <c r="C292" i="1"/>
  <c r="G292" i="1"/>
  <c r="O292" i="1"/>
  <c r="M292" i="1"/>
  <c r="J292" i="1"/>
  <c r="H292" i="1"/>
  <c r="N291" i="1"/>
  <c r="P291" i="1"/>
  <c r="Q291" i="1"/>
  <c r="G291" i="1"/>
  <c r="O291" i="1"/>
  <c r="M291" i="1"/>
  <c r="J291" i="1"/>
  <c r="H291" i="1"/>
  <c r="N290" i="1"/>
  <c r="P290" i="1"/>
  <c r="Q290" i="1"/>
  <c r="G290" i="1"/>
  <c r="O290" i="1"/>
  <c r="M290" i="1"/>
  <c r="J290" i="1"/>
  <c r="H290" i="1"/>
  <c r="N289" i="1"/>
  <c r="P289" i="1"/>
  <c r="Q289" i="1"/>
  <c r="G289" i="1"/>
  <c r="O289" i="1"/>
  <c r="M289" i="1"/>
  <c r="J289" i="1"/>
  <c r="H289" i="1"/>
  <c r="N288" i="1"/>
  <c r="P288" i="1"/>
  <c r="Q288" i="1"/>
  <c r="G288" i="1"/>
  <c r="O288" i="1"/>
  <c r="M288" i="1"/>
  <c r="J288" i="1"/>
  <c r="H288" i="1"/>
  <c r="K287" i="1"/>
  <c r="N287" i="1"/>
  <c r="P287" i="1"/>
  <c r="Q287" i="1"/>
  <c r="C287" i="1"/>
  <c r="G287" i="1"/>
  <c r="O287" i="1"/>
  <c r="M287" i="1"/>
  <c r="J287" i="1"/>
  <c r="H287" i="1"/>
  <c r="N286" i="1"/>
  <c r="P286" i="1"/>
  <c r="Q286" i="1"/>
  <c r="G286" i="1"/>
  <c r="O286" i="1"/>
  <c r="M286" i="1"/>
  <c r="J286" i="1"/>
  <c r="H286" i="1"/>
  <c r="K285" i="1"/>
  <c r="N285" i="1"/>
  <c r="P285" i="1"/>
  <c r="Q285" i="1"/>
  <c r="C285" i="1"/>
  <c r="G285" i="1"/>
  <c r="O285" i="1"/>
  <c r="M285" i="1"/>
  <c r="J285" i="1"/>
  <c r="H285" i="1"/>
  <c r="K284" i="1"/>
  <c r="N284" i="1"/>
  <c r="P284" i="1"/>
  <c r="Q284" i="1"/>
  <c r="C284" i="1"/>
  <c r="G284" i="1"/>
  <c r="O284" i="1"/>
  <c r="M284" i="1"/>
  <c r="J284" i="1"/>
  <c r="H284" i="1"/>
  <c r="K283" i="1"/>
  <c r="N283" i="1"/>
  <c r="P283" i="1"/>
  <c r="Q283" i="1"/>
  <c r="C283" i="1"/>
  <c r="G283" i="1"/>
  <c r="O283" i="1"/>
  <c r="M283" i="1"/>
  <c r="J283" i="1"/>
  <c r="H283" i="1"/>
  <c r="N281" i="1"/>
  <c r="P281" i="1"/>
  <c r="Q281" i="1"/>
  <c r="G281" i="1"/>
  <c r="O281" i="1"/>
  <c r="M281" i="1"/>
  <c r="J281" i="1"/>
  <c r="H281" i="1"/>
  <c r="N280" i="1"/>
  <c r="P280" i="1"/>
  <c r="Q280" i="1"/>
  <c r="G280" i="1"/>
  <c r="O280" i="1"/>
  <c r="M280" i="1"/>
  <c r="J280" i="1"/>
  <c r="H280" i="1"/>
  <c r="P279" i="1"/>
  <c r="Q279" i="1"/>
  <c r="C279" i="1"/>
  <c r="G279" i="1"/>
  <c r="O279" i="1"/>
  <c r="M279" i="1"/>
  <c r="J279" i="1"/>
  <c r="H279" i="1"/>
  <c r="P278" i="1"/>
  <c r="Q278" i="1"/>
  <c r="C278" i="1"/>
  <c r="G278" i="1"/>
  <c r="O278" i="1"/>
  <c r="M278" i="1"/>
  <c r="J278" i="1"/>
  <c r="H278" i="1"/>
  <c r="P277" i="1"/>
  <c r="Q277" i="1"/>
  <c r="C277" i="1"/>
  <c r="G277" i="1"/>
  <c r="O277" i="1"/>
  <c r="M277" i="1"/>
  <c r="J277" i="1"/>
  <c r="H277" i="1"/>
  <c r="P276" i="1"/>
  <c r="Q276" i="1"/>
  <c r="C276" i="1"/>
  <c r="G276" i="1"/>
  <c r="O276" i="1"/>
  <c r="M276" i="1"/>
  <c r="J276" i="1"/>
  <c r="H276" i="1"/>
  <c r="K275" i="1"/>
  <c r="N275" i="1"/>
  <c r="P275" i="1"/>
  <c r="Q275" i="1"/>
  <c r="C275" i="1"/>
  <c r="G275" i="1"/>
  <c r="O275" i="1"/>
  <c r="M275" i="1"/>
  <c r="J275" i="1"/>
  <c r="H275" i="1"/>
  <c r="K274" i="1"/>
  <c r="N274" i="1"/>
  <c r="P274" i="1"/>
  <c r="Q274" i="1"/>
  <c r="C274" i="1"/>
  <c r="G274" i="1"/>
  <c r="O274" i="1"/>
  <c r="M274" i="1"/>
  <c r="J274" i="1"/>
  <c r="H274" i="1"/>
  <c r="K273" i="1"/>
  <c r="N273" i="1"/>
  <c r="P273" i="1"/>
  <c r="Q273" i="1"/>
  <c r="C273" i="1"/>
  <c r="G273" i="1"/>
  <c r="O273" i="1"/>
  <c r="M273" i="1"/>
  <c r="J273" i="1"/>
  <c r="H273" i="1"/>
  <c r="K272" i="1"/>
  <c r="N272" i="1"/>
  <c r="P272" i="1"/>
  <c r="Q272" i="1"/>
  <c r="C272" i="1"/>
  <c r="G272" i="1"/>
  <c r="O272" i="1"/>
  <c r="M272" i="1"/>
  <c r="J272" i="1"/>
  <c r="H272" i="1"/>
  <c r="P271" i="1"/>
  <c r="Q271" i="1"/>
  <c r="C271" i="1"/>
  <c r="G271" i="1"/>
  <c r="O271" i="1"/>
  <c r="M271" i="1"/>
  <c r="J271" i="1"/>
  <c r="H271" i="1"/>
  <c r="N270" i="1"/>
  <c r="P270" i="1"/>
  <c r="Q270" i="1"/>
  <c r="D270" i="1"/>
  <c r="G270" i="1"/>
  <c r="O270" i="1"/>
  <c r="M270" i="1"/>
  <c r="J270" i="1"/>
  <c r="H270" i="1"/>
  <c r="C269" i="1"/>
  <c r="K269" i="1"/>
  <c r="L269" i="1"/>
  <c r="N269" i="1"/>
  <c r="P269" i="1"/>
  <c r="Q269" i="1"/>
  <c r="D269" i="1"/>
  <c r="G269" i="1"/>
  <c r="O269" i="1"/>
  <c r="M269" i="1"/>
  <c r="J269" i="1"/>
  <c r="H269" i="1"/>
  <c r="C268" i="1"/>
  <c r="K268" i="1"/>
  <c r="L268" i="1"/>
  <c r="N268" i="1"/>
  <c r="P268" i="1"/>
  <c r="Q268" i="1"/>
  <c r="D268" i="1"/>
  <c r="G268" i="1"/>
  <c r="O268" i="1"/>
  <c r="M268" i="1"/>
  <c r="J268" i="1"/>
  <c r="H268" i="1"/>
  <c r="C267" i="1"/>
  <c r="K267" i="1"/>
  <c r="L267" i="1"/>
  <c r="N267" i="1"/>
  <c r="P267" i="1"/>
  <c r="Q267" i="1"/>
  <c r="D267" i="1"/>
  <c r="G267" i="1"/>
  <c r="O267" i="1"/>
  <c r="M267" i="1"/>
  <c r="J267" i="1"/>
  <c r="H267" i="1"/>
  <c r="K266" i="1"/>
  <c r="L266" i="1"/>
  <c r="N266" i="1"/>
  <c r="P266" i="1"/>
  <c r="Q266" i="1"/>
  <c r="D266" i="1"/>
  <c r="G266" i="1"/>
  <c r="O266" i="1"/>
  <c r="M266" i="1"/>
  <c r="J266" i="1"/>
  <c r="H266" i="1"/>
  <c r="K265" i="1"/>
  <c r="L265" i="1"/>
  <c r="N265" i="1"/>
  <c r="P265" i="1"/>
  <c r="Q265" i="1"/>
  <c r="D265" i="1"/>
  <c r="G265" i="1"/>
  <c r="O265" i="1"/>
  <c r="M265" i="1"/>
  <c r="J265" i="1"/>
  <c r="H265" i="1"/>
  <c r="K264" i="1"/>
  <c r="L264" i="1"/>
  <c r="N264" i="1"/>
  <c r="P264" i="1"/>
  <c r="Q264" i="1"/>
  <c r="D264" i="1"/>
  <c r="G264" i="1"/>
  <c r="O264" i="1"/>
  <c r="M264" i="1"/>
  <c r="J264" i="1"/>
  <c r="H264" i="1"/>
  <c r="E330" i="1"/>
  <c r="J73" i="1"/>
  <c r="J311" i="1"/>
  <c r="I311" i="1"/>
  <c r="J310" i="1"/>
  <c r="I310" i="1"/>
  <c r="H311" i="1"/>
  <c r="H310" i="1"/>
  <c r="G303" i="1"/>
  <c r="O303" i="1"/>
  <c r="H303" i="1"/>
  <c r="J307" i="1"/>
  <c r="C306" i="1"/>
  <c r="K306" i="1"/>
  <c r="L306" i="1"/>
  <c r="N306" i="1"/>
  <c r="P306" i="1"/>
  <c r="Q306" i="1"/>
  <c r="G306" i="1"/>
  <c r="O306" i="1"/>
  <c r="J306" i="1"/>
  <c r="H306" i="1"/>
  <c r="K305" i="1"/>
  <c r="L305" i="1"/>
  <c r="N305" i="1"/>
  <c r="P305" i="1"/>
  <c r="Q305" i="1"/>
  <c r="D305" i="1"/>
  <c r="G305" i="1"/>
  <c r="O305" i="1"/>
  <c r="J305" i="1"/>
  <c r="H305" i="1"/>
  <c r="K304" i="1"/>
  <c r="L304" i="1"/>
  <c r="N304" i="1"/>
  <c r="P304" i="1"/>
  <c r="Q304" i="1"/>
  <c r="G304" i="1"/>
  <c r="O304" i="1"/>
  <c r="J304" i="1"/>
  <c r="H304" i="1"/>
  <c r="K303" i="1"/>
  <c r="L303" i="1"/>
  <c r="N303" i="1"/>
  <c r="P303" i="1"/>
  <c r="Q303" i="1"/>
  <c r="J303" i="1"/>
  <c r="K302" i="1"/>
  <c r="L302" i="1"/>
  <c r="N302" i="1"/>
  <c r="P302" i="1"/>
  <c r="Q302" i="1"/>
  <c r="G302" i="1"/>
  <c r="O302" i="1"/>
  <c r="J302" i="1"/>
  <c r="H302" i="1"/>
  <c r="L300" i="1"/>
  <c r="N300" i="1"/>
  <c r="P300" i="1"/>
  <c r="Q300" i="1"/>
  <c r="D300" i="1"/>
  <c r="G300" i="1"/>
  <c r="O300" i="1"/>
  <c r="M300" i="1"/>
  <c r="J300" i="1"/>
  <c r="I300" i="1"/>
  <c r="H300" i="1"/>
  <c r="K299" i="1"/>
  <c r="L299" i="1"/>
  <c r="N299" i="1"/>
  <c r="P299" i="1"/>
  <c r="Q299" i="1"/>
  <c r="D299" i="1"/>
  <c r="G299" i="1"/>
  <c r="O299" i="1"/>
  <c r="J299" i="1"/>
  <c r="I299" i="1"/>
  <c r="H299" i="1"/>
  <c r="K298" i="1"/>
  <c r="L298" i="1"/>
  <c r="N298" i="1"/>
  <c r="P298" i="1"/>
  <c r="Q298" i="1"/>
  <c r="D298" i="1"/>
  <c r="G298" i="1"/>
  <c r="O298" i="1"/>
  <c r="J298" i="1"/>
  <c r="I298" i="1"/>
  <c r="H298" i="1"/>
  <c r="L297" i="1"/>
  <c r="N297" i="1"/>
  <c r="P297" i="1"/>
  <c r="Q297" i="1"/>
  <c r="D297" i="1"/>
  <c r="G297" i="1"/>
  <c r="O297" i="1"/>
  <c r="M297" i="1"/>
  <c r="J297" i="1"/>
  <c r="I297" i="1"/>
  <c r="H297" i="1"/>
  <c r="K261" i="1"/>
  <c r="L261" i="1"/>
  <c r="N261" i="1"/>
  <c r="P261" i="1"/>
  <c r="Q261" i="1"/>
  <c r="D261" i="1"/>
  <c r="G261" i="1"/>
  <c r="O261" i="1"/>
  <c r="J261" i="1"/>
  <c r="H261" i="1"/>
  <c r="K260" i="1"/>
  <c r="L260" i="1"/>
  <c r="N260" i="1"/>
  <c r="P260" i="1"/>
  <c r="Q260" i="1"/>
  <c r="D260" i="1"/>
  <c r="G260" i="1"/>
  <c r="O260" i="1"/>
  <c r="J260" i="1"/>
  <c r="H260" i="1"/>
  <c r="K258" i="1"/>
  <c r="L258" i="1"/>
  <c r="N258" i="1"/>
  <c r="P258" i="1"/>
  <c r="Q258" i="1"/>
  <c r="D258" i="1"/>
  <c r="G258" i="1"/>
  <c r="O258" i="1"/>
  <c r="J258" i="1"/>
  <c r="H258" i="1"/>
  <c r="D257" i="1"/>
  <c r="G257" i="1"/>
  <c r="O257" i="1"/>
  <c r="H257" i="1"/>
  <c r="L257" i="1"/>
  <c r="N257" i="1"/>
  <c r="Q257" i="1"/>
  <c r="P257" i="1"/>
  <c r="M257" i="1"/>
  <c r="J257" i="1"/>
  <c r="N254" i="1"/>
  <c r="P254" i="1"/>
  <c r="G254" i="1"/>
  <c r="O254" i="1"/>
  <c r="M254" i="1"/>
  <c r="J254" i="1"/>
  <c r="H254" i="1"/>
  <c r="N253" i="1"/>
  <c r="P253" i="1"/>
  <c r="G253" i="1"/>
  <c r="O253" i="1"/>
  <c r="M253" i="1"/>
  <c r="J253" i="1"/>
  <c r="H253" i="1"/>
  <c r="K252" i="1"/>
  <c r="N252" i="1"/>
  <c r="P252" i="1"/>
  <c r="G252" i="1"/>
  <c r="O252" i="1"/>
  <c r="M252" i="1"/>
  <c r="J252" i="1"/>
  <c r="H252" i="1"/>
  <c r="K251" i="1"/>
  <c r="N251" i="1"/>
  <c r="P251" i="1"/>
  <c r="G251" i="1"/>
  <c r="O251" i="1"/>
  <c r="M251" i="1"/>
  <c r="J251" i="1"/>
  <c r="H251" i="1"/>
  <c r="K250" i="1"/>
  <c r="N250" i="1"/>
  <c r="P250" i="1"/>
  <c r="G250" i="1"/>
  <c r="O250" i="1"/>
  <c r="M250" i="1"/>
  <c r="J250" i="1"/>
  <c r="H250" i="1"/>
  <c r="K249" i="1"/>
  <c r="N249" i="1"/>
  <c r="P249" i="1"/>
  <c r="G249" i="1"/>
  <c r="O249" i="1"/>
  <c r="M249" i="1"/>
  <c r="J249" i="1"/>
  <c r="H249" i="1"/>
  <c r="N245" i="1"/>
  <c r="P245" i="1"/>
  <c r="G245" i="1"/>
  <c r="O245" i="1"/>
  <c r="M245" i="1"/>
  <c r="J245" i="1"/>
  <c r="H245" i="1"/>
  <c r="N244" i="1"/>
  <c r="P244" i="1"/>
  <c r="G244" i="1"/>
  <c r="O244" i="1"/>
  <c r="M244" i="1"/>
  <c r="J244" i="1"/>
  <c r="H244" i="1"/>
  <c r="N243" i="1"/>
  <c r="P243" i="1"/>
  <c r="G243" i="1"/>
  <c r="O243" i="1"/>
  <c r="M243" i="1"/>
  <c r="J243" i="1"/>
  <c r="H243" i="1"/>
  <c r="N242" i="1"/>
  <c r="P242" i="1"/>
  <c r="G242" i="1"/>
  <c r="O242" i="1"/>
  <c r="M242" i="1"/>
  <c r="J242" i="1"/>
  <c r="H242" i="1"/>
  <c r="L235" i="1"/>
  <c r="N235" i="1"/>
  <c r="P235" i="1"/>
  <c r="Q235" i="1"/>
  <c r="G235" i="1"/>
  <c r="O235" i="1"/>
  <c r="M235" i="1"/>
  <c r="J235" i="1"/>
  <c r="H235" i="1"/>
  <c r="L234" i="1"/>
  <c r="N234" i="1"/>
  <c r="P234" i="1"/>
  <c r="Q234" i="1"/>
  <c r="G234" i="1"/>
  <c r="O234" i="1"/>
  <c r="M234" i="1"/>
  <c r="J234" i="1"/>
  <c r="H234" i="1"/>
  <c r="N232" i="1"/>
  <c r="P232" i="1"/>
  <c r="Q232" i="1"/>
  <c r="G232" i="1"/>
  <c r="O232" i="1"/>
  <c r="M232" i="1"/>
  <c r="J232" i="1"/>
  <c r="H232" i="1"/>
  <c r="L231" i="1"/>
  <c r="N231" i="1"/>
  <c r="P231" i="1"/>
  <c r="Q231" i="1"/>
  <c r="G231" i="1"/>
  <c r="O231" i="1"/>
  <c r="M231" i="1"/>
  <c r="J231" i="1"/>
  <c r="H231" i="1"/>
  <c r="N230" i="1"/>
  <c r="P230" i="1"/>
  <c r="Q230" i="1"/>
  <c r="D230" i="1"/>
  <c r="G230" i="1"/>
  <c r="O230" i="1"/>
  <c r="M230" i="1"/>
  <c r="J230" i="1"/>
  <c r="H230" i="1"/>
  <c r="L229" i="1"/>
  <c r="N229" i="1"/>
  <c r="P229" i="1"/>
  <c r="Q229" i="1"/>
  <c r="G229" i="1"/>
  <c r="O229" i="1"/>
  <c r="M229" i="1"/>
  <c r="J229" i="1"/>
  <c r="H229" i="1"/>
  <c r="K228" i="1"/>
  <c r="L228" i="1"/>
  <c r="N228" i="1"/>
  <c r="P228" i="1"/>
  <c r="Q228" i="1"/>
  <c r="G228" i="1"/>
  <c r="O228" i="1"/>
  <c r="M228" i="1"/>
  <c r="J228" i="1"/>
  <c r="H228" i="1"/>
  <c r="L227" i="1"/>
  <c r="N227" i="1"/>
  <c r="P227" i="1"/>
  <c r="Q227" i="1"/>
  <c r="G227" i="1"/>
  <c r="O227" i="1"/>
  <c r="M227" i="1"/>
  <c r="J227" i="1"/>
  <c r="H227" i="1"/>
  <c r="K226" i="1"/>
  <c r="L226" i="1"/>
  <c r="N226" i="1"/>
  <c r="P226" i="1"/>
  <c r="Q226" i="1"/>
  <c r="D226" i="1"/>
  <c r="G226" i="1"/>
  <c r="O226" i="1"/>
  <c r="J226" i="1"/>
  <c r="H226" i="1"/>
  <c r="L225" i="1"/>
  <c r="N225" i="1"/>
  <c r="P225" i="1"/>
  <c r="Q225" i="1"/>
  <c r="D225" i="1"/>
  <c r="G225" i="1"/>
  <c r="O225" i="1"/>
  <c r="M225" i="1"/>
  <c r="J225" i="1"/>
  <c r="H225" i="1"/>
  <c r="L224" i="1"/>
  <c r="N224" i="1"/>
  <c r="P224" i="1"/>
  <c r="Q224" i="1"/>
  <c r="D224" i="1"/>
  <c r="G224" i="1"/>
  <c r="O224" i="1"/>
  <c r="M224" i="1"/>
  <c r="J224" i="1"/>
  <c r="H224" i="1"/>
  <c r="K222" i="1"/>
  <c r="L222" i="1"/>
  <c r="N222" i="1"/>
  <c r="P222" i="1"/>
  <c r="Q222" i="1"/>
  <c r="D222" i="1"/>
  <c r="G222" i="1"/>
  <c r="O222" i="1"/>
  <c r="J222" i="1"/>
  <c r="H222" i="1"/>
  <c r="K221" i="1"/>
  <c r="L221" i="1"/>
  <c r="N221" i="1"/>
  <c r="P221" i="1"/>
  <c r="Q221" i="1"/>
  <c r="D221" i="1"/>
  <c r="G221" i="1"/>
  <c r="O221" i="1"/>
  <c r="J221" i="1"/>
  <c r="H221" i="1"/>
  <c r="K220" i="1"/>
  <c r="L220" i="1"/>
  <c r="N220" i="1"/>
  <c r="P220" i="1"/>
  <c r="Q220" i="1"/>
  <c r="D220" i="1"/>
  <c r="G220" i="1"/>
  <c r="O220" i="1"/>
  <c r="J220" i="1"/>
  <c r="H220" i="1"/>
  <c r="K219" i="1"/>
  <c r="L219" i="1"/>
  <c r="N219" i="1"/>
  <c r="P219" i="1"/>
  <c r="Q219" i="1"/>
  <c r="D219" i="1"/>
  <c r="G219" i="1"/>
  <c r="O219" i="1"/>
  <c r="J219" i="1"/>
  <c r="H219" i="1"/>
  <c r="K218" i="1"/>
  <c r="L218" i="1"/>
  <c r="N218" i="1"/>
  <c r="P218" i="1"/>
  <c r="Q218" i="1"/>
  <c r="D218" i="1"/>
  <c r="G218" i="1"/>
  <c r="O218" i="1"/>
  <c r="J218" i="1"/>
  <c r="H218" i="1"/>
  <c r="K217" i="1"/>
  <c r="L217" i="1"/>
  <c r="N217" i="1"/>
  <c r="P217" i="1"/>
  <c r="Q217" i="1"/>
  <c r="D217" i="1"/>
  <c r="G217" i="1"/>
  <c r="O217" i="1"/>
  <c r="J217" i="1"/>
  <c r="H217" i="1"/>
  <c r="C215" i="1"/>
  <c r="K215" i="1"/>
  <c r="L215" i="1"/>
  <c r="N215" i="1"/>
  <c r="P215" i="1"/>
  <c r="Q215" i="1"/>
  <c r="D215" i="1"/>
  <c r="G215" i="1"/>
  <c r="O215" i="1"/>
  <c r="J215" i="1"/>
  <c r="H215" i="1"/>
  <c r="C214" i="1"/>
  <c r="K214" i="1"/>
  <c r="L214" i="1"/>
  <c r="N214" i="1"/>
  <c r="P214" i="1"/>
  <c r="Q214" i="1"/>
  <c r="D214" i="1"/>
  <c r="G214" i="1"/>
  <c r="O214" i="1"/>
  <c r="J214" i="1"/>
  <c r="H214" i="1"/>
  <c r="C212" i="1"/>
  <c r="K212" i="1"/>
  <c r="L212" i="1"/>
  <c r="N212" i="1"/>
  <c r="P212" i="1"/>
  <c r="Q212" i="1"/>
  <c r="D212" i="1"/>
  <c r="G212" i="1"/>
  <c r="O212" i="1"/>
  <c r="J212" i="1"/>
  <c r="H212" i="1"/>
  <c r="C211" i="1"/>
  <c r="K211" i="1"/>
  <c r="L211" i="1"/>
  <c r="N211" i="1"/>
  <c r="P211" i="1"/>
  <c r="Q211" i="1"/>
  <c r="D211" i="1"/>
  <c r="G211" i="1"/>
  <c r="O211" i="1"/>
  <c r="J211" i="1"/>
  <c r="H211" i="1"/>
  <c r="C208" i="1"/>
  <c r="K208" i="1"/>
  <c r="L208" i="1"/>
  <c r="N208" i="1"/>
  <c r="P208" i="1"/>
  <c r="Q208" i="1"/>
  <c r="D208" i="1"/>
  <c r="G208" i="1"/>
  <c r="O208" i="1"/>
  <c r="J208" i="1"/>
  <c r="H208" i="1"/>
  <c r="C207" i="1"/>
  <c r="K207" i="1"/>
  <c r="L207" i="1"/>
  <c r="N207" i="1"/>
  <c r="P207" i="1"/>
  <c r="Q207" i="1"/>
  <c r="G207" i="1"/>
  <c r="O207" i="1"/>
  <c r="J207" i="1"/>
  <c r="H207" i="1"/>
  <c r="C206" i="1"/>
  <c r="K206" i="1"/>
  <c r="L206" i="1"/>
  <c r="N206" i="1"/>
  <c r="P206" i="1"/>
  <c r="Q206" i="1"/>
  <c r="D206" i="1"/>
  <c r="G206" i="1"/>
  <c r="O206" i="1"/>
  <c r="J206" i="1"/>
  <c r="H206" i="1"/>
  <c r="K203" i="1"/>
  <c r="L203" i="1"/>
  <c r="N203" i="1"/>
  <c r="P203" i="1"/>
  <c r="Q203" i="1"/>
  <c r="D203" i="1"/>
  <c r="G203" i="1"/>
  <c r="O203" i="1"/>
  <c r="J203" i="1"/>
  <c r="H203" i="1"/>
  <c r="K201" i="1"/>
  <c r="L201" i="1"/>
  <c r="N201" i="1"/>
  <c r="P201" i="1"/>
  <c r="Q201" i="1"/>
  <c r="D201" i="1"/>
  <c r="G201" i="1"/>
  <c r="O201" i="1"/>
  <c r="J201" i="1"/>
  <c r="H201" i="1"/>
  <c r="K200" i="1"/>
  <c r="L200" i="1"/>
  <c r="N200" i="1"/>
  <c r="P200" i="1"/>
  <c r="Q200" i="1"/>
  <c r="G200" i="1"/>
  <c r="O200" i="1"/>
  <c r="J200" i="1"/>
  <c r="H200" i="1"/>
  <c r="K199" i="1"/>
  <c r="L199" i="1"/>
  <c r="N199" i="1"/>
  <c r="P199" i="1"/>
  <c r="Q199" i="1"/>
  <c r="G199" i="1"/>
  <c r="O199" i="1"/>
  <c r="J199" i="1"/>
  <c r="H199" i="1"/>
  <c r="K198" i="1"/>
  <c r="L198" i="1"/>
  <c r="N198" i="1"/>
  <c r="P198" i="1"/>
  <c r="Q198" i="1"/>
  <c r="G198" i="1"/>
  <c r="O198" i="1"/>
  <c r="J198" i="1"/>
  <c r="H198" i="1"/>
  <c r="K197" i="1"/>
  <c r="L197" i="1"/>
  <c r="N197" i="1"/>
  <c r="P197" i="1"/>
  <c r="Q197" i="1"/>
  <c r="D197" i="1"/>
  <c r="G197" i="1"/>
  <c r="O197" i="1"/>
  <c r="J197" i="1"/>
  <c r="H197" i="1"/>
  <c r="K196" i="1"/>
  <c r="L196" i="1"/>
  <c r="N196" i="1"/>
  <c r="P196" i="1"/>
  <c r="Q196" i="1"/>
  <c r="D196" i="1"/>
  <c r="G196" i="1"/>
  <c r="O196" i="1"/>
  <c r="J196" i="1"/>
  <c r="H196" i="1"/>
  <c r="K195" i="1"/>
  <c r="L195" i="1"/>
  <c r="N195" i="1"/>
  <c r="P195" i="1"/>
  <c r="Q195" i="1"/>
  <c r="D195" i="1"/>
  <c r="G195" i="1"/>
  <c r="O195" i="1"/>
  <c r="J195" i="1"/>
  <c r="H195" i="1"/>
  <c r="K192" i="1"/>
  <c r="L192" i="1"/>
  <c r="N192" i="1"/>
  <c r="P192" i="1"/>
  <c r="Q192" i="1"/>
  <c r="D192" i="1"/>
  <c r="G192" i="1"/>
  <c r="O192" i="1"/>
  <c r="J192" i="1"/>
  <c r="H192" i="1"/>
  <c r="K191" i="1"/>
  <c r="L191" i="1"/>
  <c r="N191" i="1"/>
  <c r="P191" i="1"/>
  <c r="Q191" i="1"/>
  <c r="D191" i="1"/>
  <c r="G191" i="1"/>
  <c r="O191" i="1"/>
  <c r="J191" i="1"/>
  <c r="H191" i="1"/>
  <c r="K190" i="1"/>
  <c r="L190" i="1"/>
  <c r="N190" i="1"/>
  <c r="P190" i="1"/>
  <c r="Q190" i="1"/>
  <c r="D190" i="1"/>
  <c r="G190" i="1"/>
  <c r="O190" i="1"/>
  <c r="J190" i="1"/>
  <c r="H190" i="1"/>
  <c r="K189" i="1"/>
  <c r="L189" i="1"/>
  <c r="N189" i="1"/>
  <c r="P189" i="1"/>
  <c r="Q189" i="1"/>
  <c r="D189" i="1"/>
  <c r="G189" i="1"/>
  <c r="O189" i="1"/>
  <c r="J189" i="1"/>
  <c r="H189" i="1"/>
  <c r="K188" i="1"/>
  <c r="L188" i="1"/>
  <c r="N188" i="1"/>
  <c r="P188" i="1"/>
  <c r="Q188" i="1"/>
  <c r="D188" i="1"/>
  <c r="G188" i="1"/>
  <c r="O188" i="1"/>
  <c r="J188" i="1"/>
  <c r="H188" i="1"/>
  <c r="K185" i="1"/>
  <c r="L185" i="1"/>
  <c r="N185" i="1"/>
  <c r="P185" i="1"/>
  <c r="Q185" i="1"/>
  <c r="D185" i="1"/>
  <c r="G185" i="1"/>
  <c r="O185" i="1"/>
  <c r="J185" i="1"/>
  <c r="H185" i="1"/>
  <c r="K184" i="1"/>
  <c r="L184" i="1"/>
  <c r="N184" i="1"/>
  <c r="P184" i="1"/>
  <c r="Q184" i="1"/>
  <c r="D184" i="1"/>
  <c r="G184" i="1"/>
  <c r="O184" i="1"/>
  <c r="J184" i="1"/>
  <c r="H184" i="1"/>
  <c r="K183" i="1"/>
  <c r="L183" i="1"/>
  <c r="N183" i="1"/>
  <c r="P183" i="1"/>
  <c r="Q183" i="1"/>
  <c r="D183" i="1"/>
  <c r="G183" i="1"/>
  <c r="O183" i="1"/>
  <c r="J183" i="1"/>
  <c r="H183" i="1"/>
  <c r="K182" i="1"/>
  <c r="L182" i="1"/>
  <c r="N182" i="1"/>
  <c r="P182" i="1"/>
  <c r="Q182" i="1"/>
  <c r="D182" i="1"/>
  <c r="G182" i="1"/>
  <c r="O182" i="1"/>
  <c r="J182" i="1"/>
  <c r="H182" i="1"/>
  <c r="K181" i="1"/>
  <c r="L181" i="1"/>
  <c r="N181" i="1"/>
  <c r="P181" i="1"/>
  <c r="Q181" i="1"/>
  <c r="D181" i="1"/>
  <c r="G181" i="1"/>
  <c r="O181" i="1"/>
  <c r="J181" i="1"/>
  <c r="H181" i="1"/>
  <c r="K180" i="1"/>
  <c r="L180" i="1"/>
  <c r="N180" i="1"/>
  <c r="P180" i="1"/>
  <c r="Q180" i="1"/>
  <c r="D180" i="1"/>
  <c r="G180" i="1"/>
  <c r="O180" i="1"/>
  <c r="J180" i="1"/>
  <c r="H180" i="1"/>
  <c r="K179" i="1"/>
  <c r="L179" i="1"/>
  <c r="N179" i="1"/>
  <c r="P179" i="1"/>
  <c r="Q179" i="1"/>
  <c r="D179" i="1"/>
  <c r="G179" i="1"/>
  <c r="O179" i="1"/>
  <c r="J179" i="1"/>
  <c r="H179" i="1"/>
  <c r="K178" i="1"/>
  <c r="L178" i="1"/>
  <c r="N178" i="1"/>
  <c r="P178" i="1"/>
  <c r="Q178" i="1"/>
  <c r="D178" i="1"/>
  <c r="G178" i="1"/>
  <c r="O178" i="1"/>
  <c r="J178" i="1"/>
  <c r="H178" i="1"/>
  <c r="K177" i="1"/>
  <c r="L177" i="1"/>
  <c r="N177" i="1"/>
  <c r="P177" i="1"/>
  <c r="Q177" i="1"/>
  <c r="D177" i="1"/>
  <c r="G177" i="1"/>
  <c r="O177" i="1"/>
  <c r="J177" i="1"/>
  <c r="H177" i="1"/>
  <c r="K174" i="1"/>
  <c r="L174" i="1"/>
  <c r="N174" i="1"/>
  <c r="P174" i="1"/>
  <c r="Q174" i="1"/>
  <c r="D174" i="1"/>
  <c r="G174" i="1"/>
  <c r="O174" i="1"/>
  <c r="J174" i="1"/>
  <c r="H174" i="1"/>
  <c r="K173" i="1"/>
  <c r="L173" i="1"/>
  <c r="N173" i="1"/>
  <c r="P173" i="1"/>
  <c r="Q173" i="1"/>
  <c r="D173" i="1"/>
  <c r="G173" i="1"/>
  <c r="O173" i="1"/>
  <c r="J173" i="1"/>
  <c r="H173" i="1"/>
  <c r="K172" i="1"/>
  <c r="L172" i="1"/>
  <c r="N172" i="1"/>
  <c r="P172" i="1"/>
  <c r="Q172" i="1"/>
  <c r="D172" i="1"/>
  <c r="G172" i="1"/>
  <c r="O172" i="1"/>
  <c r="J172" i="1"/>
  <c r="H172" i="1"/>
  <c r="K171" i="1"/>
  <c r="L171" i="1"/>
  <c r="N171" i="1"/>
  <c r="P171" i="1"/>
  <c r="Q171" i="1"/>
  <c r="D171" i="1"/>
  <c r="G171" i="1"/>
  <c r="O171" i="1"/>
  <c r="J171" i="1"/>
  <c r="H171" i="1"/>
  <c r="K170" i="1"/>
  <c r="L170" i="1"/>
  <c r="N170" i="1"/>
  <c r="P170" i="1"/>
  <c r="Q170" i="1"/>
  <c r="D170" i="1"/>
  <c r="G170" i="1"/>
  <c r="O170" i="1"/>
  <c r="J170" i="1"/>
  <c r="H170" i="1"/>
  <c r="K169" i="1"/>
  <c r="L169" i="1"/>
  <c r="N169" i="1"/>
  <c r="P169" i="1"/>
  <c r="Q169" i="1"/>
  <c r="D169" i="1"/>
  <c r="G169" i="1"/>
  <c r="O169" i="1"/>
  <c r="J169" i="1"/>
  <c r="H169" i="1"/>
  <c r="K168" i="1"/>
  <c r="L168" i="1"/>
  <c r="N168" i="1"/>
  <c r="P168" i="1"/>
  <c r="Q168" i="1"/>
  <c r="D168" i="1"/>
  <c r="G168" i="1"/>
  <c r="O168" i="1"/>
  <c r="J168" i="1"/>
  <c r="H168" i="1"/>
  <c r="K167" i="1"/>
  <c r="L167" i="1"/>
  <c r="N167" i="1"/>
  <c r="P167" i="1"/>
  <c r="Q167" i="1"/>
  <c r="D167" i="1"/>
  <c r="G167" i="1"/>
  <c r="O167" i="1"/>
  <c r="J167" i="1"/>
  <c r="H167" i="1"/>
  <c r="K164" i="1"/>
  <c r="L164" i="1"/>
  <c r="N164" i="1"/>
  <c r="P164" i="1"/>
  <c r="Q164" i="1"/>
  <c r="D164" i="1"/>
  <c r="G164" i="1"/>
  <c r="O164" i="1"/>
  <c r="J164" i="1"/>
  <c r="H164" i="1"/>
  <c r="K161" i="1"/>
  <c r="L161" i="1"/>
  <c r="N161" i="1"/>
  <c r="P161" i="1"/>
  <c r="Q161" i="1"/>
  <c r="D161" i="1"/>
  <c r="G161" i="1"/>
  <c r="O161" i="1"/>
  <c r="J161" i="1"/>
  <c r="H161" i="1"/>
  <c r="K160" i="1"/>
  <c r="L160" i="1"/>
  <c r="N160" i="1"/>
  <c r="P160" i="1"/>
  <c r="Q160" i="1"/>
  <c r="D160" i="1"/>
  <c r="G160" i="1"/>
  <c r="O160" i="1"/>
  <c r="J160" i="1"/>
  <c r="H160" i="1"/>
  <c r="K159" i="1"/>
  <c r="L159" i="1"/>
  <c r="N159" i="1"/>
  <c r="P159" i="1"/>
  <c r="Q159" i="1"/>
  <c r="D159" i="1"/>
  <c r="G159" i="1"/>
  <c r="O159" i="1"/>
  <c r="J159" i="1"/>
  <c r="H159" i="1"/>
  <c r="K158" i="1"/>
  <c r="L158" i="1"/>
  <c r="N158" i="1"/>
  <c r="P158" i="1"/>
  <c r="Q158" i="1"/>
  <c r="D158" i="1"/>
  <c r="G158" i="1"/>
  <c r="O158" i="1"/>
  <c r="J158" i="1"/>
  <c r="H158" i="1"/>
  <c r="K156" i="1"/>
  <c r="L156" i="1"/>
  <c r="N156" i="1"/>
  <c r="P156" i="1"/>
  <c r="Q156" i="1"/>
  <c r="D156" i="1"/>
  <c r="G156" i="1"/>
  <c r="O156" i="1"/>
  <c r="J156" i="1"/>
  <c r="H156" i="1"/>
  <c r="K155" i="1"/>
  <c r="L155" i="1"/>
  <c r="N155" i="1"/>
  <c r="P155" i="1"/>
  <c r="Q155" i="1"/>
  <c r="D155" i="1"/>
  <c r="G155" i="1"/>
  <c r="O155" i="1"/>
  <c r="J155" i="1"/>
  <c r="H155" i="1"/>
  <c r="K153" i="1"/>
  <c r="L153" i="1"/>
  <c r="N153" i="1"/>
  <c r="P153" i="1"/>
  <c r="Q153" i="1"/>
  <c r="D153" i="1"/>
  <c r="G153" i="1"/>
  <c r="O153" i="1"/>
  <c r="J153" i="1"/>
  <c r="H153" i="1"/>
  <c r="K152" i="1"/>
  <c r="L152" i="1"/>
  <c r="N152" i="1"/>
  <c r="P152" i="1"/>
  <c r="Q152" i="1"/>
  <c r="D152" i="1"/>
  <c r="G152" i="1"/>
  <c r="O152" i="1"/>
  <c r="J152" i="1"/>
  <c r="H152" i="1"/>
  <c r="K151" i="1"/>
  <c r="L151" i="1"/>
  <c r="N151" i="1"/>
  <c r="P151" i="1"/>
  <c r="Q151" i="1"/>
  <c r="D151" i="1"/>
  <c r="G151" i="1"/>
  <c r="O151" i="1"/>
  <c r="J151" i="1"/>
  <c r="H151" i="1"/>
  <c r="K150" i="1"/>
  <c r="L150" i="1"/>
  <c r="N150" i="1"/>
  <c r="P150" i="1"/>
  <c r="Q150" i="1"/>
  <c r="D150" i="1"/>
  <c r="G150" i="1"/>
  <c r="O150" i="1"/>
  <c r="J150" i="1"/>
  <c r="H150" i="1"/>
  <c r="K149" i="1"/>
  <c r="L149" i="1"/>
  <c r="N149" i="1"/>
  <c r="P149" i="1"/>
  <c r="Q149" i="1"/>
  <c r="D149" i="1"/>
  <c r="G149" i="1"/>
  <c r="O149" i="1"/>
  <c r="J149" i="1"/>
  <c r="H149" i="1"/>
  <c r="K148" i="1"/>
  <c r="L148" i="1"/>
  <c r="N148" i="1"/>
  <c r="P148" i="1"/>
  <c r="Q148" i="1"/>
  <c r="D148" i="1"/>
  <c r="G148" i="1"/>
  <c r="O148" i="1"/>
  <c r="J148" i="1"/>
  <c r="H148" i="1"/>
  <c r="K147" i="1"/>
  <c r="L147" i="1"/>
  <c r="N147" i="1"/>
  <c r="P147" i="1"/>
  <c r="Q147" i="1"/>
  <c r="D147" i="1"/>
  <c r="G147" i="1"/>
  <c r="O147" i="1"/>
  <c r="J147" i="1"/>
  <c r="H147" i="1"/>
  <c r="K144" i="1"/>
  <c r="L144" i="1"/>
  <c r="N144" i="1"/>
  <c r="P144" i="1"/>
  <c r="Q144" i="1"/>
  <c r="D144" i="1"/>
  <c r="G144" i="1"/>
  <c r="O144" i="1"/>
  <c r="J144" i="1"/>
  <c r="H144" i="1"/>
  <c r="K143" i="1"/>
  <c r="L143" i="1"/>
  <c r="N143" i="1"/>
  <c r="P143" i="1"/>
  <c r="Q143" i="1"/>
  <c r="D143" i="1"/>
  <c r="G143" i="1"/>
  <c r="O143" i="1"/>
  <c r="J143" i="1"/>
  <c r="H143" i="1"/>
  <c r="K142" i="1"/>
  <c r="L142" i="1"/>
  <c r="N142" i="1"/>
  <c r="P142" i="1"/>
  <c r="Q142" i="1"/>
  <c r="D142" i="1"/>
  <c r="G142" i="1"/>
  <c r="O142" i="1"/>
  <c r="J142" i="1"/>
  <c r="H142" i="1"/>
  <c r="K141" i="1"/>
  <c r="L141" i="1"/>
  <c r="N141" i="1"/>
  <c r="P141" i="1"/>
  <c r="Q141" i="1"/>
  <c r="D141" i="1"/>
  <c r="G141" i="1"/>
  <c r="O141" i="1"/>
  <c r="J141" i="1"/>
  <c r="H141" i="1"/>
  <c r="K139" i="1"/>
  <c r="L139" i="1"/>
  <c r="N139" i="1"/>
  <c r="P139" i="1"/>
  <c r="Q139" i="1"/>
  <c r="D139" i="1"/>
  <c r="G139" i="1"/>
  <c r="O139" i="1"/>
  <c r="J139" i="1"/>
  <c r="H139" i="1"/>
  <c r="K138" i="1"/>
  <c r="L138" i="1"/>
  <c r="N138" i="1"/>
  <c r="P138" i="1"/>
  <c r="Q138" i="1"/>
  <c r="D138" i="1"/>
  <c r="G138" i="1"/>
  <c r="O138" i="1"/>
  <c r="J138" i="1"/>
  <c r="H138" i="1"/>
  <c r="K137" i="1"/>
  <c r="L137" i="1"/>
  <c r="N137" i="1"/>
  <c r="P137" i="1"/>
  <c r="Q137" i="1"/>
  <c r="D137" i="1"/>
  <c r="G137" i="1"/>
  <c r="O137" i="1"/>
  <c r="J137" i="1"/>
  <c r="H137" i="1"/>
  <c r="K136" i="1"/>
  <c r="L136" i="1"/>
  <c r="N136" i="1"/>
  <c r="P136" i="1"/>
  <c r="Q136" i="1"/>
  <c r="D136" i="1"/>
  <c r="G136" i="1"/>
  <c r="O136" i="1"/>
  <c r="J136" i="1"/>
  <c r="H136" i="1"/>
  <c r="K135" i="1"/>
  <c r="L135" i="1"/>
  <c r="N135" i="1"/>
  <c r="P135" i="1"/>
  <c r="Q135" i="1"/>
  <c r="D135" i="1"/>
  <c r="G135" i="1"/>
  <c r="O135" i="1"/>
  <c r="J135" i="1"/>
  <c r="H135" i="1"/>
  <c r="K134" i="1"/>
  <c r="L134" i="1"/>
  <c r="N134" i="1"/>
  <c r="P134" i="1"/>
  <c r="Q134" i="1"/>
  <c r="D134" i="1"/>
  <c r="G134" i="1"/>
  <c r="O134" i="1"/>
  <c r="J134" i="1"/>
  <c r="H134" i="1"/>
  <c r="K132" i="1"/>
  <c r="L132" i="1"/>
  <c r="N132" i="1"/>
  <c r="P132" i="1"/>
  <c r="Q132" i="1"/>
  <c r="D132" i="1"/>
  <c r="G132" i="1"/>
  <c r="O132" i="1"/>
  <c r="J132" i="1"/>
  <c r="H132" i="1"/>
  <c r="K131" i="1"/>
  <c r="L131" i="1"/>
  <c r="N131" i="1"/>
  <c r="P131" i="1"/>
  <c r="Q131" i="1"/>
  <c r="D131" i="1"/>
  <c r="G131" i="1"/>
  <c r="O131" i="1"/>
  <c r="J131" i="1"/>
  <c r="H131" i="1"/>
  <c r="K129" i="1"/>
  <c r="L129" i="1"/>
  <c r="N129" i="1"/>
  <c r="P129" i="1"/>
  <c r="Q129" i="1"/>
  <c r="D129" i="1"/>
  <c r="G129" i="1"/>
  <c r="O129" i="1"/>
  <c r="J129" i="1"/>
  <c r="H129" i="1"/>
  <c r="K128" i="1"/>
  <c r="L128" i="1"/>
  <c r="N128" i="1"/>
  <c r="P128" i="1"/>
  <c r="Q128" i="1"/>
  <c r="D128" i="1"/>
  <c r="G128" i="1"/>
  <c r="O128" i="1"/>
  <c r="J128" i="1"/>
  <c r="H128" i="1"/>
  <c r="K127" i="1"/>
  <c r="L127" i="1"/>
  <c r="N127" i="1"/>
  <c r="P127" i="1"/>
  <c r="Q127" i="1"/>
  <c r="D127" i="1"/>
  <c r="G127" i="1"/>
  <c r="O127" i="1"/>
  <c r="J127" i="1"/>
  <c r="H127" i="1"/>
  <c r="K126" i="1"/>
  <c r="L126" i="1"/>
  <c r="N126" i="1"/>
  <c r="P126" i="1"/>
  <c r="Q126" i="1"/>
  <c r="D126" i="1"/>
  <c r="G126" i="1"/>
  <c r="O126" i="1"/>
  <c r="J126" i="1"/>
  <c r="H126" i="1"/>
  <c r="K122" i="1"/>
  <c r="L122" i="1"/>
  <c r="N122" i="1"/>
  <c r="P122" i="1"/>
  <c r="Q122" i="1"/>
  <c r="D122" i="1"/>
  <c r="G122" i="1"/>
  <c r="O122" i="1"/>
  <c r="J122" i="1"/>
  <c r="H122" i="1"/>
  <c r="K121" i="1"/>
  <c r="L121" i="1"/>
  <c r="N121" i="1"/>
  <c r="P121" i="1"/>
  <c r="Q121" i="1"/>
  <c r="D121" i="1"/>
  <c r="G121" i="1"/>
  <c r="O121" i="1"/>
  <c r="J121" i="1"/>
  <c r="H121" i="1"/>
  <c r="K120" i="1"/>
  <c r="L120" i="1"/>
  <c r="N120" i="1"/>
  <c r="P120" i="1"/>
  <c r="Q120" i="1"/>
  <c r="D120" i="1"/>
  <c r="G120" i="1"/>
  <c r="O120" i="1"/>
  <c r="J120" i="1"/>
  <c r="H120" i="1"/>
  <c r="K119" i="1"/>
  <c r="L119" i="1"/>
  <c r="N119" i="1"/>
  <c r="P119" i="1"/>
  <c r="Q119" i="1"/>
  <c r="D119" i="1"/>
  <c r="G119" i="1"/>
  <c r="O119" i="1"/>
  <c r="J119" i="1"/>
  <c r="H119" i="1"/>
  <c r="K118" i="1"/>
  <c r="L118" i="1"/>
  <c r="N118" i="1"/>
  <c r="P118" i="1"/>
  <c r="Q118" i="1"/>
  <c r="D118" i="1"/>
  <c r="G118" i="1"/>
  <c r="O118" i="1"/>
  <c r="J118" i="1"/>
  <c r="H118" i="1"/>
  <c r="K117" i="1"/>
  <c r="L117" i="1"/>
  <c r="N117" i="1"/>
  <c r="P117" i="1"/>
  <c r="Q117" i="1"/>
  <c r="D117" i="1"/>
  <c r="G117" i="1"/>
  <c r="O117" i="1"/>
  <c r="J117" i="1"/>
  <c r="H117" i="1"/>
  <c r="K114" i="1"/>
  <c r="L114" i="1"/>
  <c r="N114" i="1"/>
  <c r="P114" i="1"/>
  <c r="Q114" i="1"/>
  <c r="D114" i="1"/>
  <c r="G114" i="1"/>
  <c r="O114" i="1"/>
  <c r="J114" i="1"/>
  <c r="H114" i="1"/>
  <c r="K113" i="1"/>
  <c r="L113" i="1"/>
  <c r="N113" i="1"/>
  <c r="P113" i="1"/>
  <c r="Q113" i="1"/>
  <c r="D113" i="1"/>
  <c r="G113" i="1"/>
  <c r="O113" i="1"/>
  <c r="J113" i="1"/>
  <c r="H113" i="1"/>
  <c r="K112" i="1"/>
  <c r="L112" i="1"/>
  <c r="N112" i="1"/>
  <c r="P112" i="1"/>
  <c r="Q112" i="1"/>
  <c r="D112" i="1"/>
  <c r="G112" i="1"/>
  <c r="O112" i="1"/>
  <c r="J112" i="1"/>
  <c r="H112" i="1"/>
  <c r="K111" i="1"/>
  <c r="L111" i="1"/>
  <c r="N111" i="1"/>
  <c r="P111" i="1"/>
  <c r="Q111" i="1"/>
  <c r="D111" i="1"/>
  <c r="G111" i="1"/>
  <c r="O111" i="1"/>
  <c r="J111" i="1"/>
  <c r="H111" i="1"/>
  <c r="K109" i="1"/>
  <c r="L109" i="1"/>
  <c r="N109" i="1"/>
  <c r="P109" i="1"/>
  <c r="Q109" i="1"/>
  <c r="D109" i="1"/>
  <c r="G109" i="1"/>
  <c r="O109" i="1"/>
  <c r="J109" i="1"/>
  <c r="H109" i="1"/>
  <c r="K108" i="1"/>
  <c r="L108" i="1"/>
  <c r="N108" i="1"/>
  <c r="P108" i="1"/>
  <c r="Q108" i="1"/>
  <c r="D108" i="1"/>
  <c r="G108" i="1"/>
  <c r="O108" i="1"/>
  <c r="J108" i="1"/>
  <c r="H108" i="1"/>
  <c r="K107" i="1"/>
  <c r="L107" i="1"/>
  <c r="N107" i="1"/>
  <c r="P107" i="1"/>
  <c r="Q107" i="1"/>
  <c r="D107" i="1"/>
  <c r="G107" i="1"/>
  <c r="O107" i="1"/>
  <c r="J107" i="1"/>
  <c r="H107" i="1"/>
  <c r="K106" i="1"/>
  <c r="L106" i="1"/>
  <c r="N106" i="1"/>
  <c r="P106" i="1"/>
  <c r="Q106" i="1"/>
  <c r="D106" i="1"/>
  <c r="G106" i="1"/>
  <c r="O106" i="1"/>
  <c r="J106" i="1"/>
  <c r="H106" i="1"/>
  <c r="L102" i="1"/>
  <c r="N102" i="1"/>
  <c r="P102" i="1"/>
  <c r="Q102" i="1"/>
  <c r="D102" i="1"/>
  <c r="G102" i="1"/>
  <c r="O102" i="1"/>
  <c r="M102" i="1"/>
  <c r="J102" i="1"/>
  <c r="H102" i="1"/>
  <c r="L101" i="1"/>
  <c r="N101" i="1"/>
  <c r="P101" i="1"/>
  <c r="Q101" i="1"/>
  <c r="D101" i="1"/>
  <c r="G101" i="1"/>
  <c r="O101" i="1"/>
  <c r="M101" i="1"/>
  <c r="J101" i="1"/>
  <c r="H101" i="1"/>
  <c r="L100" i="1"/>
  <c r="N100" i="1"/>
  <c r="P100" i="1"/>
  <c r="Q100" i="1"/>
  <c r="D100" i="1"/>
  <c r="G100" i="1"/>
  <c r="O100" i="1"/>
  <c r="M100" i="1"/>
  <c r="J100" i="1"/>
  <c r="H100" i="1"/>
  <c r="L99" i="1"/>
  <c r="N99" i="1"/>
  <c r="P99" i="1"/>
  <c r="Q99" i="1"/>
  <c r="D99" i="1"/>
  <c r="G99" i="1"/>
  <c r="O99" i="1"/>
  <c r="M99" i="1"/>
  <c r="J99" i="1"/>
  <c r="H99" i="1"/>
  <c r="L98" i="1"/>
  <c r="N98" i="1"/>
  <c r="P98" i="1"/>
  <c r="Q98" i="1"/>
  <c r="G98" i="1"/>
  <c r="O98" i="1"/>
  <c r="M98" i="1"/>
  <c r="J98" i="1"/>
  <c r="H98" i="1"/>
  <c r="L97" i="1"/>
  <c r="N97" i="1"/>
  <c r="P97" i="1"/>
  <c r="Q97" i="1"/>
  <c r="D97" i="1"/>
  <c r="G97" i="1"/>
  <c r="O97" i="1"/>
  <c r="M97" i="1"/>
  <c r="J97" i="1"/>
  <c r="H97" i="1"/>
  <c r="L96" i="1"/>
  <c r="N96" i="1"/>
  <c r="P96" i="1"/>
  <c r="Q96" i="1"/>
  <c r="G96" i="1"/>
  <c r="O96" i="1"/>
  <c r="M96" i="1"/>
  <c r="J96" i="1"/>
  <c r="H96" i="1"/>
  <c r="L95" i="1"/>
  <c r="N95" i="1"/>
  <c r="P95" i="1"/>
  <c r="Q95" i="1"/>
  <c r="G95" i="1"/>
  <c r="O95" i="1"/>
  <c r="M95" i="1"/>
  <c r="J95" i="1"/>
  <c r="H95" i="1"/>
  <c r="L94" i="1"/>
  <c r="N94" i="1"/>
  <c r="P94" i="1"/>
  <c r="Q94" i="1"/>
  <c r="D94" i="1"/>
  <c r="G94" i="1"/>
  <c r="O94" i="1"/>
  <c r="M94" i="1"/>
  <c r="J94" i="1"/>
  <c r="H94" i="1"/>
  <c r="L93" i="1"/>
  <c r="N93" i="1"/>
  <c r="P93" i="1"/>
  <c r="Q93" i="1"/>
  <c r="D93" i="1"/>
  <c r="G93" i="1"/>
  <c r="O93" i="1"/>
  <c r="M93" i="1"/>
  <c r="J93" i="1"/>
  <c r="H93" i="1"/>
  <c r="L92" i="1"/>
  <c r="N92" i="1"/>
  <c r="P92" i="1"/>
  <c r="Q92" i="1"/>
  <c r="D92" i="1"/>
  <c r="G92" i="1"/>
  <c r="O92" i="1"/>
  <c r="M92" i="1"/>
  <c r="J92" i="1"/>
  <c r="H92" i="1"/>
  <c r="L91" i="1"/>
  <c r="N91" i="1"/>
  <c r="P91" i="1"/>
  <c r="Q91" i="1"/>
  <c r="D91" i="1"/>
  <c r="G91" i="1"/>
  <c r="O91" i="1"/>
  <c r="M91" i="1"/>
  <c r="J91" i="1"/>
  <c r="H91" i="1"/>
  <c r="L90" i="1"/>
  <c r="N90" i="1"/>
  <c r="P90" i="1"/>
  <c r="Q90" i="1"/>
  <c r="D90" i="1"/>
  <c r="G90" i="1"/>
  <c r="O90" i="1"/>
  <c r="M90" i="1"/>
  <c r="J90" i="1"/>
  <c r="H90" i="1"/>
  <c r="L89" i="1"/>
  <c r="N89" i="1"/>
  <c r="P89" i="1"/>
  <c r="Q89" i="1"/>
  <c r="D89" i="1"/>
  <c r="G89" i="1"/>
  <c r="O89" i="1"/>
  <c r="M89" i="1"/>
  <c r="J89" i="1"/>
  <c r="H89" i="1"/>
  <c r="L88" i="1"/>
  <c r="N88" i="1"/>
  <c r="P88" i="1"/>
  <c r="Q88" i="1"/>
  <c r="D88" i="1"/>
  <c r="G88" i="1"/>
  <c r="O88" i="1"/>
  <c r="M88" i="1"/>
  <c r="J88" i="1"/>
  <c r="H88" i="1"/>
  <c r="L87" i="1"/>
  <c r="N87" i="1"/>
  <c r="P87" i="1"/>
  <c r="Q87" i="1"/>
  <c r="D87" i="1"/>
  <c r="G87" i="1"/>
  <c r="O87" i="1"/>
  <c r="M87" i="1"/>
  <c r="J87" i="1"/>
  <c r="H87" i="1"/>
  <c r="K85" i="1"/>
  <c r="L85" i="1"/>
  <c r="N85" i="1"/>
  <c r="P85" i="1"/>
  <c r="Q85" i="1"/>
  <c r="G85" i="1"/>
  <c r="O85" i="1"/>
  <c r="M85" i="1"/>
  <c r="J85" i="1"/>
  <c r="H85" i="1"/>
  <c r="L84" i="1"/>
  <c r="N84" i="1"/>
  <c r="P84" i="1"/>
  <c r="Q84" i="1"/>
  <c r="G84" i="1"/>
  <c r="O84" i="1"/>
  <c r="M84" i="1"/>
  <c r="J84" i="1"/>
  <c r="H84" i="1"/>
  <c r="L83" i="1"/>
  <c r="N83" i="1"/>
  <c r="P83" i="1"/>
  <c r="Q83" i="1"/>
  <c r="G83" i="1"/>
  <c r="O83" i="1"/>
  <c r="M83" i="1"/>
  <c r="J83" i="1"/>
  <c r="H83" i="1"/>
  <c r="L82" i="1"/>
  <c r="N82" i="1"/>
  <c r="P82" i="1"/>
  <c r="Q82" i="1"/>
  <c r="G82" i="1"/>
  <c r="O82" i="1"/>
  <c r="M82" i="1"/>
  <c r="J82" i="1"/>
  <c r="H82" i="1"/>
  <c r="L81" i="1"/>
  <c r="N81" i="1"/>
  <c r="P81" i="1"/>
  <c r="Q81" i="1"/>
  <c r="G81" i="1"/>
  <c r="O81" i="1"/>
  <c r="M81" i="1"/>
  <c r="J81" i="1"/>
  <c r="H81" i="1"/>
  <c r="K80" i="1"/>
  <c r="L80" i="1"/>
  <c r="N80" i="1"/>
  <c r="P80" i="1"/>
  <c r="Q80" i="1"/>
  <c r="G80" i="1"/>
  <c r="O80" i="1"/>
  <c r="M80" i="1"/>
  <c r="J80" i="1"/>
  <c r="H80" i="1"/>
  <c r="L79" i="1"/>
  <c r="N79" i="1"/>
  <c r="P79" i="1"/>
  <c r="Q79" i="1"/>
  <c r="G79" i="1"/>
  <c r="O79" i="1"/>
  <c r="M79" i="1"/>
  <c r="J79" i="1"/>
  <c r="H79" i="1"/>
  <c r="K78" i="1"/>
  <c r="L78" i="1"/>
  <c r="N78" i="1"/>
  <c r="P78" i="1"/>
  <c r="Q78" i="1"/>
  <c r="G78" i="1"/>
  <c r="O78" i="1"/>
  <c r="M78" i="1"/>
  <c r="J78" i="1"/>
  <c r="H78" i="1"/>
  <c r="L77" i="1"/>
  <c r="N77" i="1"/>
  <c r="P77" i="1"/>
  <c r="Q77" i="1"/>
  <c r="G77" i="1"/>
  <c r="O77" i="1"/>
  <c r="M77" i="1"/>
  <c r="J77" i="1"/>
  <c r="H77" i="1"/>
  <c r="L76" i="1"/>
  <c r="N76" i="1"/>
  <c r="P76" i="1"/>
  <c r="Q76" i="1"/>
  <c r="G76" i="1"/>
  <c r="O76" i="1"/>
  <c r="M76" i="1"/>
  <c r="J76" i="1"/>
  <c r="H76" i="1"/>
  <c r="L75" i="1"/>
  <c r="N75" i="1"/>
  <c r="P75" i="1"/>
  <c r="Q75" i="1"/>
  <c r="G75" i="1"/>
  <c r="O75" i="1"/>
  <c r="M75" i="1"/>
  <c r="J75" i="1"/>
  <c r="H75" i="1"/>
  <c r="L74" i="1"/>
  <c r="N74" i="1"/>
  <c r="P74" i="1"/>
  <c r="Q74" i="1"/>
  <c r="G74" i="1"/>
  <c r="O74" i="1"/>
  <c r="M74" i="1"/>
  <c r="J74" i="1"/>
  <c r="H74" i="1"/>
  <c r="L71" i="1"/>
  <c r="N71" i="1"/>
  <c r="P71" i="1"/>
  <c r="Q71" i="1"/>
  <c r="G71" i="1"/>
  <c r="O71" i="1"/>
  <c r="M71" i="1"/>
  <c r="J71" i="1"/>
  <c r="H71" i="1"/>
  <c r="L70" i="1"/>
  <c r="N70" i="1"/>
  <c r="P70" i="1"/>
  <c r="Q70" i="1"/>
  <c r="D70" i="1"/>
  <c r="G70" i="1"/>
  <c r="O70" i="1"/>
  <c r="M70" i="1"/>
  <c r="J70" i="1"/>
  <c r="H70" i="1"/>
  <c r="P69" i="1"/>
  <c r="Q69" i="1"/>
  <c r="D69" i="1"/>
  <c r="G69" i="1"/>
  <c r="O69" i="1"/>
  <c r="M69" i="1"/>
  <c r="J69" i="1"/>
  <c r="H69" i="1"/>
  <c r="L68" i="1"/>
  <c r="N68" i="1"/>
  <c r="P68" i="1"/>
  <c r="Q68" i="1"/>
  <c r="G68" i="1"/>
  <c r="O68" i="1"/>
  <c r="M68" i="1"/>
  <c r="J68" i="1"/>
  <c r="H68" i="1"/>
  <c r="L67" i="1"/>
  <c r="N67" i="1"/>
  <c r="P67" i="1"/>
  <c r="Q67" i="1"/>
  <c r="G67" i="1"/>
  <c r="O67" i="1"/>
  <c r="M67" i="1"/>
  <c r="J67" i="1"/>
  <c r="H67" i="1"/>
  <c r="L66" i="1"/>
  <c r="N66" i="1"/>
  <c r="P66" i="1"/>
  <c r="Q66" i="1"/>
  <c r="D66" i="1"/>
  <c r="G66" i="1"/>
  <c r="O66" i="1"/>
  <c r="M66" i="1"/>
  <c r="J66" i="1"/>
  <c r="H66" i="1"/>
  <c r="P65" i="1"/>
  <c r="Q65" i="1"/>
  <c r="O65" i="1"/>
  <c r="M65" i="1"/>
  <c r="D65" i="1"/>
  <c r="P64" i="1"/>
  <c r="Q64" i="1"/>
  <c r="O64" i="1"/>
  <c r="M64" i="1"/>
  <c r="D64" i="1"/>
  <c r="L63" i="1"/>
  <c r="N63" i="1"/>
  <c r="P63" i="1"/>
  <c r="Q63" i="1"/>
  <c r="D63" i="1"/>
  <c r="G63" i="1"/>
  <c r="O63" i="1"/>
  <c r="M63" i="1"/>
  <c r="J63" i="1"/>
  <c r="H63" i="1"/>
  <c r="L62" i="1"/>
  <c r="N62" i="1"/>
  <c r="P62" i="1"/>
  <c r="Q62" i="1"/>
  <c r="D62" i="1"/>
  <c r="G62" i="1"/>
  <c r="O62" i="1"/>
  <c r="M62" i="1"/>
  <c r="J62" i="1"/>
  <c r="H62" i="1"/>
  <c r="L61" i="1"/>
  <c r="N61" i="1"/>
  <c r="P61" i="1"/>
  <c r="Q61" i="1"/>
  <c r="D61" i="1"/>
  <c r="G61" i="1"/>
  <c r="O61" i="1"/>
  <c r="M61" i="1"/>
  <c r="J61" i="1"/>
  <c r="H61" i="1"/>
  <c r="L60" i="1"/>
  <c r="N60" i="1"/>
  <c r="P60" i="1"/>
  <c r="Q60" i="1"/>
  <c r="D60" i="1"/>
  <c r="G60" i="1"/>
  <c r="O60" i="1"/>
  <c r="M60" i="1"/>
  <c r="J60" i="1"/>
  <c r="H60" i="1"/>
  <c r="L59" i="1"/>
  <c r="N59" i="1"/>
  <c r="P59" i="1"/>
  <c r="Q59" i="1"/>
  <c r="D59" i="1"/>
  <c r="G59" i="1"/>
  <c r="O59" i="1"/>
  <c r="M59" i="1"/>
  <c r="J59" i="1"/>
  <c r="H59" i="1"/>
  <c r="L58" i="1"/>
  <c r="N58" i="1"/>
  <c r="P58" i="1"/>
  <c r="Q58" i="1"/>
  <c r="D58" i="1"/>
  <c r="G58" i="1"/>
  <c r="O58" i="1"/>
  <c r="M58" i="1"/>
  <c r="J58" i="1"/>
  <c r="H58" i="1"/>
  <c r="L57" i="1"/>
  <c r="N57" i="1"/>
  <c r="P57" i="1"/>
  <c r="Q57" i="1"/>
  <c r="D57" i="1"/>
  <c r="G57" i="1"/>
  <c r="O57" i="1"/>
  <c r="M57" i="1"/>
  <c r="J57" i="1"/>
  <c r="H57" i="1"/>
  <c r="L55" i="1"/>
  <c r="N55" i="1"/>
  <c r="P55" i="1"/>
  <c r="Q55" i="1"/>
  <c r="G55" i="1"/>
  <c r="O55" i="1"/>
  <c r="M55" i="1"/>
  <c r="J55" i="1"/>
  <c r="H55" i="1"/>
  <c r="L54" i="1"/>
  <c r="N54" i="1"/>
  <c r="P54" i="1"/>
  <c r="Q54" i="1"/>
  <c r="G54" i="1"/>
  <c r="O54" i="1"/>
  <c r="M54" i="1"/>
  <c r="J54" i="1"/>
  <c r="H54" i="1"/>
  <c r="L53" i="1"/>
  <c r="N53" i="1"/>
  <c r="P53" i="1"/>
  <c r="Q53" i="1"/>
  <c r="G53" i="1"/>
  <c r="O53" i="1"/>
  <c r="M53" i="1"/>
  <c r="J53" i="1"/>
  <c r="H53" i="1"/>
  <c r="L52" i="1"/>
  <c r="N52" i="1"/>
  <c r="P52" i="1"/>
  <c r="Q52" i="1"/>
  <c r="G52" i="1"/>
  <c r="O52" i="1"/>
  <c r="M52" i="1"/>
  <c r="J52" i="1"/>
  <c r="H52" i="1"/>
  <c r="L51" i="1"/>
  <c r="N51" i="1"/>
  <c r="P51" i="1"/>
  <c r="Q51" i="1"/>
  <c r="G51" i="1"/>
  <c r="O51" i="1"/>
  <c r="M51" i="1"/>
  <c r="J51" i="1"/>
  <c r="H51" i="1"/>
  <c r="L50" i="1"/>
  <c r="N50" i="1"/>
  <c r="P50" i="1"/>
  <c r="Q50" i="1"/>
  <c r="G50" i="1"/>
  <c r="O50" i="1"/>
  <c r="M50" i="1"/>
  <c r="J50" i="1"/>
  <c r="H50" i="1"/>
  <c r="L49" i="1"/>
  <c r="N49" i="1"/>
  <c r="P49" i="1"/>
  <c r="Q49" i="1"/>
  <c r="G49" i="1"/>
  <c r="O49" i="1"/>
  <c r="M49" i="1"/>
  <c r="J49" i="1"/>
  <c r="H49" i="1"/>
  <c r="L48" i="1"/>
  <c r="N48" i="1"/>
  <c r="P48" i="1"/>
  <c r="Q48" i="1"/>
  <c r="D48" i="1"/>
  <c r="G48" i="1"/>
  <c r="O48" i="1"/>
  <c r="M48" i="1"/>
  <c r="J48" i="1"/>
  <c r="H48" i="1"/>
  <c r="L47" i="1"/>
  <c r="N47" i="1"/>
  <c r="P47" i="1"/>
  <c r="Q47" i="1"/>
  <c r="G47" i="1"/>
  <c r="O47" i="1"/>
  <c r="M47" i="1"/>
  <c r="J47" i="1"/>
  <c r="H47" i="1"/>
  <c r="L46" i="1"/>
  <c r="N46" i="1"/>
  <c r="P46" i="1"/>
  <c r="Q46" i="1"/>
  <c r="G46" i="1"/>
  <c r="O46" i="1"/>
  <c r="M46" i="1"/>
  <c r="J46" i="1"/>
  <c r="H46" i="1"/>
  <c r="L45" i="1"/>
  <c r="N45" i="1"/>
  <c r="P45" i="1"/>
  <c r="Q45" i="1"/>
  <c r="G45" i="1"/>
  <c r="O45" i="1"/>
  <c r="M45" i="1"/>
  <c r="J45" i="1"/>
  <c r="H45" i="1"/>
  <c r="L44" i="1"/>
  <c r="N44" i="1"/>
  <c r="P44" i="1"/>
  <c r="Q44" i="1"/>
  <c r="G44" i="1"/>
  <c r="O44" i="1"/>
  <c r="M44" i="1"/>
  <c r="J44" i="1"/>
  <c r="H44" i="1"/>
  <c r="L43" i="1"/>
  <c r="N43" i="1"/>
  <c r="P43" i="1"/>
  <c r="Q43" i="1"/>
  <c r="G43" i="1"/>
  <c r="O43" i="1"/>
  <c r="M43" i="1"/>
  <c r="J43" i="1"/>
  <c r="H43" i="1"/>
  <c r="N41" i="1"/>
  <c r="P41" i="1"/>
  <c r="Q41" i="1"/>
  <c r="K40" i="1"/>
  <c r="N40" i="1"/>
  <c r="P40" i="1"/>
  <c r="Q40" i="1"/>
  <c r="K39" i="1"/>
  <c r="N39" i="1"/>
  <c r="P39" i="1"/>
  <c r="Q39" i="1"/>
  <c r="N37" i="1"/>
  <c r="P37" i="1"/>
  <c r="Q37" i="1"/>
  <c r="K36" i="1"/>
  <c r="N36" i="1"/>
  <c r="P36" i="1"/>
  <c r="Q36" i="1"/>
  <c r="K35" i="1"/>
  <c r="N35" i="1"/>
  <c r="P35" i="1"/>
  <c r="Q35" i="1"/>
  <c r="D35" i="1"/>
  <c r="G35" i="1"/>
  <c r="O35" i="1"/>
  <c r="M35" i="1"/>
  <c r="J35" i="1"/>
  <c r="H35" i="1"/>
  <c r="N33" i="1"/>
  <c r="P33" i="1"/>
  <c r="Q33" i="1"/>
  <c r="K32" i="1"/>
  <c r="N32" i="1"/>
  <c r="P32" i="1"/>
  <c r="Q32" i="1"/>
  <c r="K31" i="1"/>
  <c r="L31" i="1"/>
  <c r="N31" i="1"/>
  <c r="P31" i="1"/>
  <c r="Q31" i="1"/>
  <c r="G31" i="1"/>
  <c r="O31" i="1"/>
  <c r="M31" i="1"/>
  <c r="J31" i="1"/>
  <c r="H31" i="1"/>
  <c r="N29" i="1"/>
  <c r="P29" i="1"/>
  <c r="N28" i="1"/>
  <c r="P28" i="1"/>
  <c r="Q28" i="1"/>
  <c r="N27" i="1"/>
  <c r="P27" i="1"/>
  <c r="Q27" i="1"/>
  <c r="N26" i="1"/>
  <c r="P26" i="1"/>
  <c r="Q26" i="1"/>
  <c r="D26" i="1"/>
  <c r="G26" i="1"/>
  <c r="O26" i="1"/>
  <c r="M26" i="1"/>
  <c r="J26" i="1"/>
  <c r="H26" i="1"/>
  <c r="J3" i="1"/>
</calcChain>
</file>

<file path=xl/comments1.xml><?xml version="1.0" encoding="utf-8"?>
<comments xmlns="http://schemas.openxmlformats.org/spreadsheetml/2006/main">
  <authors>
    <author/>
  </authors>
  <commentList>
    <comment ref="Q3" authorId="0">
      <text>
        <r>
          <rPr>
            <sz val="10"/>
            <color rgb="FF000000"/>
            <rFont val="Arial"/>
          </rPr>
          <t>For the rest of the items, don't worry about this column for now-- I generally don't finalize prices til the week before I publish them, and I usually apply different formulas for various product categories and do a lot of tweaking based on price research.
	-caro roszell
Okay. I will leave them be.
	-Alicia Luhrssen</t>
        </r>
      </text>
    </comment>
    <comment ref="Q248" authorId="0">
      <text>
        <r>
          <rPr>
            <sz val="10"/>
            <color rgb="FF000000"/>
            <rFont val="Arial"/>
          </rPr>
          <t>For the rest of the items, don't worry about this column for now-- I generally don't finalize prices til the week before I publish them, and I usually apply different formulas for various product categories and do a lot of tweaking based on price research.
	-caro roszell
Okay. I will leave them be.
	-Alicia Luhrssen</t>
        </r>
      </text>
    </comment>
    <comment ref="G288" authorId="0">
      <text>
        <r>
          <rPr>
            <sz val="10"/>
            <color rgb="FF000000"/>
            <rFont val="Arial"/>
          </rPr>
          <t>Price comparisons on ziplock bags are from Uline.
	-Faith Gilbert</t>
        </r>
      </text>
    </comment>
    <comment ref="G289" authorId="0">
      <text>
        <r>
          <rPr>
            <sz val="10"/>
            <color rgb="FF000000"/>
            <rFont val="Arial"/>
          </rPr>
          <t>Price comparisons on ziplock bags are from Uline.
	-Faith Gilbert</t>
        </r>
      </text>
    </comment>
    <comment ref="G290" authorId="0">
      <text>
        <r>
          <rPr>
            <sz val="10"/>
            <color rgb="FF000000"/>
            <rFont val="Arial"/>
          </rPr>
          <t>Price comparisons on ziplock bags are from Uline.
	-Faith Gilbert</t>
        </r>
      </text>
    </comment>
    <comment ref="G292" authorId="0">
      <text>
        <r>
          <rPr>
            <sz val="10"/>
            <color rgb="FF000000"/>
            <rFont val="Arial"/>
          </rPr>
          <t>Catalog price + shipping is from Uline
	-Faith Gilbert</t>
        </r>
      </text>
    </comment>
    <comment ref="G293" authorId="0">
      <text>
        <r>
          <rPr>
            <sz val="10"/>
            <color rgb="FF000000"/>
            <rFont val="Arial"/>
          </rPr>
          <t>Catalog price + shipping is from Uline.
	-Faith Gilbert</t>
        </r>
      </text>
    </comment>
  </commentList>
</comments>
</file>

<file path=xl/sharedStrings.xml><?xml version="1.0" encoding="utf-8"?>
<sst xmlns="http://schemas.openxmlformats.org/spreadsheetml/2006/main" count="750" uniqueCount="510">
  <si>
    <t>Subtotal</t>
  </si>
  <si>
    <t>Discount</t>
  </si>
  <si>
    <t>Item</t>
  </si>
  <si>
    <t>Retail Item Cost</t>
  </si>
  <si>
    <t>Retail Shipping</t>
  </si>
  <si>
    <t>Enter Your Order Quantity Here</t>
  </si>
  <si>
    <t>Bulk Order Price</t>
  </si>
  <si>
    <t>Catalog Price + Shipping</t>
  </si>
  <si>
    <t>You Save</t>
  </si>
  <si>
    <t>Bulk Price</t>
  </si>
  <si>
    <t xml:space="preserve">Shipping </t>
  </si>
  <si>
    <t>Min Discount %</t>
  </si>
  <si>
    <t>Total 2020 Bulk Price</t>
  </si>
  <si>
    <t>Savings to Farm</t>
  </si>
  <si>
    <t>Bulk Order Retains</t>
  </si>
  <si>
    <t>% markup to bulk</t>
  </si>
  <si>
    <t>Vendor Code</t>
  </si>
  <si>
    <t>Fill Out Your Order Information</t>
  </si>
  <si>
    <t>Name (Your Name or Farm Name, for Pickup):</t>
  </si>
  <si>
    <t>Phone Number:</t>
  </si>
  <si>
    <t>Email:</t>
  </si>
  <si>
    <t>Pickup Location: Choose Pickup Location Option</t>
  </si>
  <si>
    <t>Choose Payment Method:</t>
  </si>
  <si>
    <t>Online Bank Transfer - Free</t>
  </si>
  <si>
    <t>Bank transfer (preferred) is digital, free, and secure. Credit card requires 3.5% fee.</t>
  </si>
  <si>
    <t>Customer Agreements</t>
  </si>
  <si>
    <t>I acknowledge and agree that....</t>
  </si>
  <si>
    <t xml:space="preserve">Agree </t>
  </si>
  <si>
    <t>I will pick up my order on Saturday, March 6th or Sunday, March 7th from the pickup location I’ve chosen.</t>
  </si>
  <si>
    <t>If I don’t pick up my order on those days, I will be billed a $10 fee to compensate the pickup site for making themselves available another time.</t>
  </si>
  <si>
    <t>I am aware that there is a $400 order minimum for 2021 orders.</t>
  </si>
  <si>
    <t>A few items listed may have additional shipping costs if order minimums are not met. I’m aware of that possibility and that I may receive a follow-up invoice for additional shipping costs specific to my order.</t>
  </si>
  <si>
    <t>PELLETED POULTRY MANURE FROM KREHER FAMILY FARMS</t>
  </si>
  <si>
    <t>Poultry-manure based pelleted dry fertilizers - a popular and economical choice for fertility management.  See nutrient analysis for all blends and OMRI certificate (for 5-4-3 blend) at https://www.krehereggs.com/compost-fertilizer</t>
  </si>
  <si>
    <t>Kreher's Pelleted Fertilizer, 5-4-3, OMRI Listed</t>
  </si>
  <si>
    <t xml:space="preserve">     5-4-3 OMRI Single 50# Bag</t>
  </si>
  <si>
    <t>KRR</t>
  </si>
  <si>
    <t>KRR543</t>
  </si>
  <si>
    <t xml:space="preserve">     5-4-3 OMRI Half Pallet (20 50# Bags)</t>
  </si>
  <si>
    <t>N/A</t>
  </si>
  <si>
    <t>KRR543HP</t>
  </si>
  <si>
    <t xml:space="preserve">     5-4-3 Full Pallet (1 Ton - 40 50# Bags)</t>
  </si>
  <si>
    <t>KRR543FP</t>
  </si>
  <si>
    <t xml:space="preserve">     5-4-3 OMRI Super Sack (1 Ton)</t>
  </si>
  <si>
    <t>KRR543SS</t>
  </si>
  <si>
    <t>Kreher's Pelleted Fertilizer, 8-2-2, Poultry Manure &amp; Feather Meal Blend</t>
  </si>
  <si>
    <t xml:space="preserve">     8-2-2 Single 50# Bag</t>
  </si>
  <si>
    <t>KRR822</t>
  </si>
  <si>
    <t xml:space="preserve">     8-2-2 Half Pallet (20 50# Bags)</t>
  </si>
  <si>
    <t>KRR822HP</t>
  </si>
  <si>
    <t xml:space="preserve">     8-2-2 Full Pallet (1 Ton - 40 50# Bags)</t>
  </si>
  <si>
    <t>KRR822FP</t>
  </si>
  <si>
    <t>Kreher's Pelleted Fertilizer, 4-3-10, Poultry Manure &amp; Potash Blend</t>
  </si>
  <si>
    <t xml:space="preserve">     4-3-10 Single 50# Bag</t>
  </si>
  <si>
    <t>KRR4310</t>
  </si>
  <si>
    <t xml:space="preserve">     4-3-10 Half Pallet (20 50# Bags)</t>
  </si>
  <si>
    <t>KRR4310HP</t>
  </si>
  <si>
    <t xml:space="preserve">     4-3-10 Full Pallet (1 Ton - 40 50# Bags)</t>
  </si>
  <si>
    <t>KRR4310FP</t>
  </si>
  <si>
    <t>Kreher's Pelleted Fertilizer, 7-2-6, Manure, Feather Meal, Blood Meal &amp; Potash Blend</t>
  </si>
  <si>
    <t xml:space="preserve">     7-2-6 Single 50# Bag</t>
  </si>
  <si>
    <t>KRR726</t>
  </si>
  <si>
    <t xml:space="preserve">     7-2-6 Half Pallet (20 50# Bags)</t>
  </si>
  <si>
    <t>KRR726HP</t>
  </si>
  <si>
    <t xml:space="preserve">     7-2-6 Full Pallet (1 Ton - 40 50# Bags)</t>
  </si>
  <si>
    <t>KRR726FP</t>
  </si>
  <si>
    <t>LIQUID FERTILIZERS FROM NEPTUNES HARVEST AND FERTRELL</t>
  </si>
  <si>
    <t xml:space="preserve">     Neptune's Harvest Fish Fertilizer 2-4-1, 1 Gal.</t>
  </si>
  <si>
    <t>PG</t>
  </si>
  <si>
    <t xml:space="preserve">     Neptune's Harvest Fish Fertilizer 2-4-1, 5 Gal.</t>
  </si>
  <si>
    <t xml:space="preserve">     Neptune's Harvest Fish Fertilizer 2-4-1, 55 Gal. Drum</t>
  </si>
  <si>
    <t xml:space="preserve">     Neptune's Harvest Fish &amp; Seaweed Fertilizer 2-3-1, 1 Gal.</t>
  </si>
  <si>
    <t xml:space="preserve">     Neptune's Harvest Fish &amp; Seaweed Fertilizer 2-3-1, 5 Gal.</t>
  </si>
  <si>
    <t xml:space="preserve">     Neptune's Harvest Fish &amp; Seaweed Fertilizer 2-3-1, 55 Gal. Drum</t>
  </si>
  <si>
    <t xml:space="preserve">     Neptune's Harvest Tomato &amp; Vegetable Fertilizer 2-4-2, 1 Gal.</t>
  </si>
  <si>
    <t xml:space="preserve">     Neptune's Harvest Tomato &amp; Vegetable Fertilizer 2-4-2, 5 Gal.</t>
  </si>
  <si>
    <t xml:space="preserve">     Fertrell Liquid 3-4-3, 1 Gal</t>
  </si>
  <si>
    <t xml:space="preserve">     Fertrell Liquid 3-4-3, 5 Gal</t>
  </si>
  <si>
    <t xml:space="preserve">     Liquid Kelp, 1 Qt</t>
  </si>
  <si>
    <t xml:space="preserve">     Liquid Kelp, 1 Gal</t>
  </si>
  <si>
    <t xml:space="preserve">     Liquid Kelp, 5 Gal</t>
  </si>
  <si>
    <t>MINERAL &amp; ORGANIC FERTILIZERS, SUPPLIED BY PROGRESSIVE GROWER</t>
  </si>
  <si>
    <t>Sulphur Pastille, 50#</t>
  </si>
  <si>
    <t>Pelletized Hi-Mag Lime 50#</t>
  </si>
  <si>
    <t>Pelletized Hi Cal Lime 50#</t>
  </si>
  <si>
    <t>Worm Castings, 30#</t>
  </si>
  <si>
    <t>Alfalfa Meal Org 50#</t>
  </si>
  <si>
    <t>Full Pallet Discount - for even orders of 40 bags.  Divide # of bags ordered by 40 and round down to nearest whole number of pallets.  Enter number of pallets in "Your Order Quantity."</t>
  </si>
  <si>
    <t>LOG</t>
  </si>
  <si>
    <t>Oats,  "Keuka," 50#, Organic</t>
  </si>
  <si>
    <t>LOGOATS50</t>
  </si>
  <si>
    <t>Wheat, "Shelley", Hard Red Spring, 50#, Organic</t>
  </si>
  <si>
    <t>LOGWHT50</t>
  </si>
  <si>
    <t>Rye, 50#, Organic</t>
  </si>
  <si>
    <t>LOGRYE50</t>
  </si>
  <si>
    <t>Annual Ryegrass</t>
  </si>
  <si>
    <t>LOGANRYE</t>
  </si>
  <si>
    <t>Buckwheat 50#, Organic</t>
  </si>
  <si>
    <t>LOGBKW50</t>
  </si>
  <si>
    <t>Clover, Medium Red, 50#, Organic</t>
  </si>
  <si>
    <t>LOGCLVR</t>
  </si>
  <si>
    <t>Clover, Yellow, 50#, Organic</t>
  </si>
  <si>
    <t>LOGCLVY</t>
  </si>
  <si>
    <t>Pasture/Hay Mix, Organic, 25#</t>
  </si>
  <si>
    <t>LOGHAY25</t>
  </si>
  <si>
    <t>Field Peas, Austrian Winter, 50#, Organic</t>
  </si>
  <si>
    <t>LOGPSA50</t>
  </si>
  <si>
    <t xml:space="preserve">Field Peas, "4010 Purple Forage," 50# </t>
  </si>
  <si>
    <t>LOGPS401050</t>
  </si>
  <si>
    <t>BMR Sorghum Sudangrass, 50#, Organic</t>
  </si>
  <si>
    <t>LOGBMR50</t>
  </si>
  <si>
    <t>Hairy Vetch, 50#, Organic</t>
  </si>
  <si>
    <t>LOGBHRV50</t>
  </si>
  <si>
    <t>SMALL INCREMENT SEEDS, FROM PROGRESSIVE GROWERS</t>
  </si>
  <si>
    <t>Oats, 25#</t>
  </si>
  <si>
    <t>Buckwheat, 5#</t>
  </si>
  <si>
    <t>Buckwheat, 25#</t>
  </si>
  <si>
    <t>Sorghum Sudangrass, 10#</t>
  </si>
  <si>
    <t>Clover, Mammoth Red, 2#</t>
  </si>
  <si>
    <t>Clover, Mammoth Red, 10#</t>
  </si>
  <si>
    <t>Clover, Rivendell White, 5#</t>
  </si>
  <si>
    <t>Clover, Rivendell White, 25#</t>
  </si>
  <si>
    <t>Clover, Yellow Sweet, 2#</t>
  </si>
  <si>
    <t>Clover, Yellow Sweet, 10#</t>
  </si>
  <si>
    <t>Orchardgrass, 25#</t>
  </si>
  <si>
    <t>Forage Radish, 5#</t>
  </si>
  <si>
    <t>Forage Radish, 25#</t>
  </si>
  <si>
    <t>Hairy Vetch 2#</t>
  </si>
  <si>
    <t>Hairy Vetch 10#</t>
  </si>
  <si>
    <t>Annual Ryegrass 25#</t>
  </si>
  <si>
    <t>LAYFLAT</t>
  </si>
  <si>
    <t>From Nolt's: Blue Layflat is a lightweight, tough and economical water discharge hose great for main supply lines.  It is very popular because of long length.  It will not rot or mildew and coils flat for easy storage.</t>
  </si>
  <si>
    <t xml:space="preserve">     Blue Layflat 1 1/2" 300' Coil</t>
  </si>
  <si>
    <t>NPS</t>
  </si>
  <si>
    <t>LAY015</t>
  </si>
  <si>
    <t xml:space="preserve">     Blue Layflat 2" 300' Coil</t>
  </si>
  <si>
    <t>LAY020</t>
  </si>
  <si>
    <t xml:space="preserve">     Blue Layflat 3" 300' Coil</t>
  </si>
  <si>
    <t>LAY030</t>
  </si>
  <si>
    <t xml:space="preserve">     Blue Layflat 4" 300' Coil</t>
  </si>
  <si>
    <t>LAY040</t>
  </si>
  <si>
    <t>From Nolt's: Ironsides has a high working pressure and features long length.  Suitable for high pressure irrigating.  It resists kinking and twisting and may be coiled or racked when wet.</t>
  </si>
  <si>
    <t xml:space="preserve">     Ironsides Red Layflat 1 1/2" 300' Coil</t>
  </si>
  <si>
    <t>IRL015</t>
  </si>
  <si>
    <t xml:space="preserve">     Ironsides Red Layflat 2" 300' Coil</t>
  </si>
  <si>
    <t>IRL020</t>
  </si>
  <si>
    <t xml:space="preserve">     Ironsides Red Layflat 3" 300' Coil</t>
  </si>
  <si>
    <t>IRL030</t>
  </si>
  <si>
    <t xml:space="preserve">     Ironsides Red Layflat 4" 300' Coil</t>
  </si>
  <si>
    <t>IRL040</t>
  </si>
  <si>
    <t>OVAL HOSE</t>
  </si>
  <si>
    <t>From Nolt's: Oval hose is a lightweight and economical tubing designed to be used for headlines and laterals on drip irrigation and micro-sprinkler systems.  Use with insert fittings and clamps.</t>
  </si>
  <si>
    <t xml:space="preserve">     Blue Stripe Oval Hose, 1" x 660'</t>
  </si>
  <si>
    <t>FPT106</t>
  </si>
  <si>
    <t xml:space="preserve">     Blue Stripe Oval Hose, 1 1/2" x 600'</t>
  </si>
  <si>
    <t>FPT156</t>
  </si>
  <si>
    <t xml:space="preserve">     Blue Stripe Oval Hose, 1 1/2" x 150'</t>
  </si>
  <si>
    <t>FPT1515</t>
  </si>
  <si>
    <t xml:space="preserve">     Blue Stripe Oval Hose, 2" x 150'</t>
  </si>
  <si>
    <t>FPT2015</t>
  </si>
  <si>
    <t xml:space="preserve">     Blue Stripe Oval Hose, 2" x 450'</t>
  </si>
  <si>
    <t>FPT2045</t>
  </si>
  <si>
    <t xml:space="preserve">     Blue Stripe Oval Hose, 3" x 200'</t>
  </si>
  <si>
    <t>FPT302</t>
  </si>
  <si>
    <t>DRIP TAPE</t>
  </si>
  <si>
    <t>From Nolt's: Choosing a tape flow rate: 
4" 1.0: for greenhouses, germinating beds, for row crops in sandy soils, up to 300' rows.
6 - 8": for row crops in lighter soil, up to 500' level row
12" .45: standard for row crops, up to 600' level rows.
12" .34: for row crops, larger zones, to 800' level rows.
16" .25 or 12" .22: for row crops, to 1000' level rows.</t>
  </si>
  <si>
    <t>Toro Aqua-Traxx 12" .45 GPM Tapes</t>
  </si>
  <si>
    <t xml:space="preserve">     15 mil 4000' 12" .45GPM</t>
  </si>
  <si>
    <t>AQ-15</t>
  </si>
  <si>
    <t xml:space="preserve">     10 mil 6000' 12" .45GPM</t>
  </si>
  <si>
    <t>AQ-10</t>
  </si>
  <si>
    <t xml:space="preserve">     8 mil 7500' 12" .45GPM</t>
  </si>
  <si>
    <t>AQ-08</t>
  </si>
  <si>
    <t xml:space="preserve">     6 mil 10000' 12" .45GPM</t>
  </si>
  <si>
    <t>AQ-06</t>
  </si>
  <si>
    <t>Toro Aqua-Traxx 12" .34 GPM Tapes</t>
  </si>
  <si>
    <t xml:space="preserve">     10 mil 6000' 12" .34GPM</t>
  </si>
  <si>
    <t>AQ-101</t>
  </si>
  <si>
    <t xml:space="preserve">     8 mil 7500' 12" .34GPM</t>
  </si>
  <si>
    <t>AQ-081</t>
  </si>
  <si>
    <t>Toro Aqua-Traxx Other Flow Rate Tapes</t>
  </si>
  <si>
    <t xml:space="preserve">     8 mil 7500' 12" .22GPM</t>
  </si>
  <si>
    <t>AQ-081222</t>
  </si>
  <si>
    <t xml:space="preserve">     6 mil 10000' 12" .22GPM</t>
  </si>
  <si>
    <t>AQ061222</t>
  </si>
  <si>
    <t xml:space="preserve">     8 mil 7500' 8" .5GPM</t>
  </si>
  <si>
    <t>AQ-083</t>
  </si>
  <si>
    <t xml:space="preserve">     8 mil 7500' 6" .67GPM</t>
  </si>
  <si>
    <t>AQ-080667</t>
  </si>
  <si>
    <t xml:space="preserve">     8 mil 7500' 4" 1.34GPM</t>
  </si>
  <si>
    <t>AQ-0804134</t>
  </si>
  <si>
    <t xml:space="preserve">     8 mil 7500' 16" .25GPM</t>
  </si>
  <si>
    <t>AQ-082</t>
  </si>
  <si>
    <t xml:space="preserve">Toro Aqua-Traxx Flow Control - Compensates for changes in elevation  </t>
  </si>
  <si>
    <t xml:space="preserve">     8 Mil 7500' 12" .45GPM</t>
  </si>
  <si>
    <t>APC08</t>
  </si>
  <si>
    <t xml:space="preserve">    10 Mil 6000' 12" .45 GPM</t>
  </si>
  <si>
    <t>APC10</t>
  </si>
  <si>
    <t xml:space="preserve">     8 Mil 7500' 12" .34GPM</t>
  </si>
  <si>
    <t>APC081</t>
  </si>
  <si>
    <t xml:space="preserve">    10 Mil 6000' 12" .34GPM</t>
  </si>
  <si>
    <t>APC101</t>
  </si>
  <si>
    <t>PLASTIC MULCH</t>
  </si>
  <si>
    <t>Embossed Black Plastic Mulch</t>
  </si>
  <si>
    <t xml:space="preserve">     1 Mil, 4'x2400'</t>
  </si>
  <si>
    <t>BE-424</t>
  </si>
  <si>
    <t xml:space="preserve">     1 Mil, 4'x4000'</t>
  </si>
  <si>
    <t>BE-44</t>
  </si>
  <si>
    <t xml:space="preserve">     1 Mil, 5'x2400'</t>
  </si>
  <si>
    <t>BE-524</t>
  </si>
  <si>
    <t xml:space="preserve">     1 Mil, 5'x4000'</t>
  </si>
  <si>
    <t>BE-54</t>
  </si>
  <si>
    <t xml:space="preserve">     1.25 Mil, 4'x4000'</t>
  </si>
  <si>
    <t>BE-44125</t>
  </si>
  <si>
    <t xml:space="preserve">     1.25 Mil, 5'x2400'</t>
  </si>
  <si>
    <t>BE-524125</t>
  </si>
  <si>
    <t xml:space="preserve">     1.5 Mil, 4'x2400'</t>
  </si>
  <si>
    <t>BE-42415</t>
  </si>
  <si>
    <t>Clear Plastic Mulch</t>
  </si>
  <si>
    <t xml:space="preserve">     Clear Plastic Mulch, 1 Mil, 4'x4000'</t>
  </si>
  <si>
    <t>CE-44</t>
  </si>
  <si>
    <t xml:space="preserve">     Clear Plastic Mulch, 1 Mil, 5'x4000'</t>
  </si>
  <si>
    <t>CE-54</t>
  </si>
  <si>
    <t>Bio360 Mater-Bi Biodegradable Black Plastic Mulch</t>
  </si>
  <si>
    <t xml:space="preserve">     Bio360 Biodegradable Black Plastic Mulch, .6 Mil, 4'x2400'</t>
  </si>
  <si>
    <t>BTB6424</t>
  </si>
  <si>
    <t xml:space="preserve">     Bio360 Biodegradable Black Plastic Mulch, .6 Mil, 4'x4000'</t>
  </si>
  <si>
    <t>BTB644</t>
  </si>
  <si>
    <t xml:space="preserve">     Bio360 Biodegradable Black Plastic Mulch, .6 Mil, 5'x4000'</t>
  </si>
  <si>
    <t>BTB654</t>
  </si>
  <si>
    <t xml:space="preserve">     Bio360 Biodegradable Black Plastic Mulch, .8 Mil, 4'x4000'</t>
  </si>
  <si>
    <t>BTB844</t>
  </si>
  <si>
    <t>CROP COVER &amp; FABRICS</t>
  </si>
  <si>
    <t xml:space="preserve">     Anchor Bags, 14"x26" Woven Black w/ Tie String, UV Treated, 100 Pack</t>
  </si>
  <si>
    <t>ACB1426</t>
  </si>
  <si>
    <t>Row Cover, .55 Oz/Yd</t>
  </si>
  <si>
    <t>From Nolt's: Dewitt Floating Row Cover, 0.55oz/Sq Yd.  Our lightest weight cover but 10% heavier than most competitors.  Seams are sewn for strength and durability.  85% light transmission.  Protects to 30-31 degrees F.</t>
  </si>
  <si>
    <t xml:space="preserve">     Floating Row Cover, .55 Oz/Yd, 7'x500'</t>
  </si>
  <si>
    <t>D050705</t>
  </si>
  <si>
    <t xml:space="preserve">     Floating Row Cover, .55 Oz/Yd, 7'x1000'</t>
  </si>
  <si>
    <t>D05071</t>
  </si>
  <si>
    <t xml:space="preserve">     Floating Row Cover, .55 Oz/Yd, 10'x500'</t>
  </si>
  <si>
    <t>D051005</t>
  </si>
  <si>
    <t xml:space="preserve">     Floating Row Cover, .55 Oz/Yd, 14'x1000'</t>
  </si>
  <si>
    <t>D05141</t>
  </si>
  <si>
    <t xml:space="preserve">     Floating Row Cover, .55 Oz/Yd, 20'x1000'</t>
  </si>
  <si>
    <t>D05201</t>
  </si>
  <si>
    <t xml:space="preserve">     Floating Row Cover, .55 Oz/Yd, 30'x1000'</t>
  </si>
  <si>
    <t>D05301</t>
  </si>
  <si>
    <t xml:space="preserve">     Floating Row Cover, .55 Oz/Yd, 40'x1000'</t>
  </si>
  <si>
    <t>D05401</t>
  </si>
  <si>
    <t xml:space="preserve">     Floating Row Cover, .55 Oz/Yd, 50'x500'</t>
  </si>
  <si>
    <t>D055005</t>
  </si>
  <si>
    <t>Row Cover, 1 Oz/Yd</t>
  </si>
  <si>
    <t>From Nolt's: Dewitt Floating Row Cover, 1 oz/ sq yd.  This DeluxePlus row cover is close to twice as heavy as the .55 oz, for almost twice the frost protection.  Good for strawberries and to extend fall harvests.  Can usually be used for 2 seasons.  Seams are sewn for strength and durability.  70% light transmission.  Protects to 28-30 degrees F.</t>
  </si>
  <si>
    <t xml:space="preserve">     Floating Row Cover, 1 Oz/Yd, 7'x500'</t>
  </si>
  <si>
    <t>D10075</t>
  </si>
  <si>
    <t xml:space="preserve">     Floating Row Cover, 1 Oz/Yd, 7'x1000'</t>
  </si>
  <si>
    <t>D10071</t>
  </si>
  <si>
    <t xml:space="preserve">     Floating Row Cover, 1 Oz/Yd, 10'x500'</t>
  </si>
  <si>
    <t>D1010</t>
  </si>
  <si>
    <t xml:space="preserve">     Floating Row Cover, 1 Oz/Yd, 14'x500'</t>
  </si>
  <si>
    <t>D101405</t>
  </si>
  <si>
    <t xml:space="preserve">     Floating Row Cover, 1 Oz/Yd, 14'x1000'</t>
  </si>
  <si>
    <t>D10141</t>
  </si>
  <si>
    <t xml:space="preserve">     Floating Row Cover, 1 Oz/Yd, 20'x1000'</t>
  </si>
  <si>
    <t>D1020</t>
  </si>
  <si>
    <t xml:space="preserve">     Floating Row Cover, 1 Oz/Yd, 27'x800'</t>
  </si>
  <si>
    <t>D1027</t>
  </si>
  <si>
    <t xml:space="preserve">     Floating Row Cover, 1 Oz/Yd, 39'x800'</t>
  </si>
  <si>
    <t>D1039</t>
  </si>
  <si>
    <t xml:space="preserve">     Floating Row Cover, 1 Oz/Yd, 50'x500'</t>
  </si>
  <si>
    <t>D105005</t>
  </si>
  <si>
    <t>Proteknet</t>
  </si>
  <si>
    <t>From Nolt's: Pest and insect control netting for fruits and vegetables.  Also protects crops against weather damage.  No thermal effect (unlike crop cover).</t>
  </si>
  <si>
    <t xml:space="preserve">     Proteknet Insect Netting, 83" x 328'</t>
  </si>
  <si>
    <t>PN252100</t>
  </si>
  <si>
    <t xml:space="preserve">     Proteknet Insect Netting, 83" x 820'</t>
  </si>
  <si>
    <t>PN252250</t>
  </si>
  <si>
    <t xml:space="preserve">     Proteknet Insect Netting, 10' x 820'</t>
  </si>
  <si>
    <t>PN253250</t>
  </si>
  <si>
    <t xml:space="preserve">     Proteknet Insect Netting, 14' x 328'</t>
  </si>
  <si>
    <t>PN254100</t>
  </si>
  <si>
    <t xml:space="preserve">     Proteknet Insect Netting, 14' x 820'</t>
  </si>
  <si>
    <t>PN254250</t>
  </si>
  <si>
    <t>GROUND COVER</t>
  </si>
  <si>
    <t>From Nolt's: This UV stabilized, woven cloth is extremely strong and far superior to sheet plastic.  This woven polypropylene fabric is permeable to air and water, yet blocks weeds effectively.  3.2-3.3 oz/sq. yd with stripes every foot.</t>
  </si>
  <si>
    <t xml:space="preserve">     Black Woven Ground Cover, 3x300'</t>
  </si>
  <si>
    <t>BGC03</t>
  </si>
  <si>
    <t xml:space="preserve">     Black Woven Ground Cover, 4x300'</t>
  </si>
  <si>
    <t>BGC04</t>
  </si>
  <si>
    <t xml:space="preserve">     Black Woven Ground Cover, 6x300'</t>
  </si>
  <si>
    <t>BGC06</t>
  </si>
  <si>
    <t xml:space="preserve">     Black Woven Ground Cover, 10.5x300'</t>
  </si>
  <si>
    <t>BGC10</t>
  </si>
  <si>
    <t xml:space="preserve">     Black Woven Ground Cover, 12.5x300'</t>
  </si>
  <si>
    <t>BGC12</t>
  </si>
  <si>
    <t xml:space="preserve">     Black Woven Ground Cover, 15x300'</t>
  </si>
  <si>
    <t>BGC15</t>
  </si>
  <si>
    <t xml:space="preserve">     Ground Cover/Sod Staples, 6"x1", 11 Gauge, 1000/box</t>
  </si>
  <si>
    <t>SS611</t>
  </si>
  <si>
    <t>TRELLISING SUPPLIES</t>
  </si>
  <si>
    <t>Tomato Twine, 3# white, 6,300ft box with belt loop</t>
  </si>
  <si>
    <t>TW 3</t>
  </si>
  <si>
    <t>Trellising Stakes</t>
  </si>
  <si>
    <t>From Nolt's: White Oak Stakes For organic growing.  Uniform 1" square, sharpened.</t>
  </si>
  <si>
    <t xml:space="preserve">     White Oak Stakes, Untreated, 1"x1"x48", Pack of 25</t>
  </si>
  <si>
    <t>TS 448</t>
  </si>
  <si>
    <t xml:space="preserve">     White Oak Stakes, Untreated, 1"x1"x60", Pack of 25</t>
  </si>
  <si>
    <t>TS 460</t>
  </si>
  <si>
    <t xml:space="preserve">     White Oak Stakes, Untreated, 1"x1"x72", Pack of 25</t>
  </si>
  <si>
    <t>TS 472</t>
  </si>
  <si>
    <t>Tomato Hooks &amp; Rollers</t>
  </si>
  <si>
    <t xml:space="preserve">     Greenhouse Tomato Bare Twine Hook, Case of 984</t>
  </si>
  <si>
    <t>GTSH</t>
  </si>
  <si>
    <t xml:space="preserve">     Twine Hook loaded w/ 40' of twine, Case of 420</t>
  </si>
  <si>
    <t>GTSHTW</t>
  </si>
  <si>
    <t xml:space="preserve">     Greenhouse Tomato Roller Hook, Case of 550</t>
  </si>
  <si>
    <t>GTRH-F</t>
  </si>
  <si>
    <t xml:space="preserve">     Roller Hook loaded w/ 80' of twine, Case of 550</t>
  </si>
  <si>
    <t>GTRH-S</t>
  </si>
  <si>
    <t xml:space="preserve">     White Trellis Netting, 6" Square Mesh, 48"x328'</t>
  </si>
  <si>
    <t>WTN48</t>
  </si>
  <si>
    <t xml:space="preserve">     White Trellis Netting, 6" Square Mesh, 59"x328'</t>
  </si>
  <si>
    <t>WTN59</t>
  </si>
  <si>
    <t xml:space="preserve">     White Trellis Netting, 6" Square Mesh, 78"x328'</t>
  </si>
  <si>
    <t>WTN78</t>
  </si>
  <si>
    <t xml:space="preserve">     White Trellis Netting, 6" Square Mesh, 48"x3280'</t>
  </si>
  <si>
    <t>WTN48R</t>
  </si>
  <si>
    <t xml:space="preserve">     White Trellis Netting, 6" Square Mesh, 59"x3280'</t>
  </si>
  <si>
    <t>WTN59R</t>
  </si>
  <si>
    <t xml:space="preserve">     White Trellis Netting, 6" Square Mesh, 78"x3280'</t>
  </si>
  <si>
    <t>WTN78R</t>
  </si>
  <si>
    <t>SPRAYS &amp; CONTROLS</t>
  </si>
  <si>
    <t>MILHS</t>
  </si>
  <si>
    <t>Pyganic 5.0 1 qt</t>
  </si>
  <si>
    <t>Pyganic 5.0 1 gal</t>
  </si>
  <si>
    <t>Pyganic 1.4 1 qt</t>
  </si>
  <si>
    <t>Pyganic 1.4 1 gal</t>
  </si>
  <si>
    <t xml:space="preserve">     Dipel 1#</t>
  </si>
  <si>
    <t xml:space="preserve">     Dipel 5#</t>
  </si>
  <si>
    <t>PAPER CHAIN POTS FROM SMALL FARM WORKS</t>
  </si>
  <si>
    <t>Paper chain pots work with Japanese-made paper pot transplanters and dramatically improve transplant speeds on small vegetable farms.  Paper chain pot trays contain 264 cells; 3 cm x 3 cm (1.2 x 1.2 inch) paper chain pots with 2, 4, or 6 inches between plants in the field. Total length of paper chain varies with plant spacing.  Full catalog available, popular items below.</t>
  </si>
  <si>
    <t xml:space="preserve">     Paper Pots, 2", CP303, 150 Count Case</t>
  </si>
  <si>
    <t>SFW</t>
  </si>
  <si>
    <t>SFWPP2</t>
  </si>
  <si>
    <t xml:space="preserve">     Paper Pots, 4", LP303-10, 75 Count Case</t>
  </si>
  <si>
    <t>SFWPP4</t>
  </si>
  <si>
    <t xml:space="preserve">     Paper Pots, 6", LP303-15, 75 Count Case</t>
  </si>
  <si>
    <t>SFWPP6</t>
  </si>
  <si>
    <t xml:space="preserve">     Paper Pot Bottom Trays, Pack of 10</t>
  </si>
  <si>
    <t>SFWPPBT</t>
  </si>
  <si>
    <t>SILAGE TARPS FROM FARMERS FRIEND LLC</t>
  </si>
  <si>
    <t xml:space="preserve">Full Catalog Available, popular items below.  Prices for most special order items will be catalog price + $5 shipping.  See farmersfriend.com and use special order form at the bottom of this sheet.  </t>
  </si>
  <si>
    <t xml:space="preserve">UV treated, reversible tarp for weed suppression.  Note:  If orders from all farms do not meet order minimum for Farmers Friend, a shipping surcharge may apply.  If so, you will receive a follow-up invoice with the shipping charge for your order.  We have full catalog access for Farmers Friend.  </t>
  </si>
  <si>
    <t xml:space="preserve">     Silage Tarp, 24x105'</t>
  </si>
  <si>
    <t>FFR</t>
  </si>
  <si>
    <t>FFRST24105</t>
  </si>
  <si>
    <t xml:space="preserve">     Silage Tarp, 32x105'</t>
  </si>
  <si>
    <t>FFRST32105</t>
  </si>
  <si>
    <t xml:space="preserve">     Silage Tarp, 40x105'</t>
  </si>
  <si>
    <t>FFRST40105</t>
  </si>
  <si>
    <t xml:space="preserve">     Silage Tarp, 50x105'</t>
  </si>
  <si>
    <t>FFRST50105</t>
  </si>
  <si>
    <t xml:space="preserve">     Silage Tarp Repair Tape</t>
  </si>
  <si>
    <t>FFRRT</t>
  </si>
  <si>
    <t>FFRRB50</t>
  </si>
  <si>
    <t>HARVEST CONTAINERS</t>
  </si>
  <si>
    <t>Bulb crates, 12.5'x15.5"x7" black crates</t>
  </si>
  <si>
    <t>BLB</t>
  </si>
  <si>
    <t>PC-22</t>
  </si>
  <si>
    <t xml:space="preserve">     ShuttleBin 330 Collapsible Bulk Bin, 1500Lb Capacity</t>
  </si>
  <si>
    <t>PC-25</t>
  </si>
  <si>
    <t xml:space="preserve">     ShuttleBin 330 Collapsible Bulk Bin, 1500Lb Capacity With Door</t>
  </si>
  <si>
    <t>PC-25L</t>
  </si>
  <si>
    <t>Berry Boxes, Quart, Case of 297</t>
  </si>
  <si>
    <t>BBB250</t>
  </si>
  <si>
    <t>Berry Boxes, Pint, Case of 420</t>
  </si>
  <si>
    <t>BBB420</t>
  </si>
  <si>
    <t>Berry Boxes, Half Pint, Case of 600</t>
  </si>
  <si>
    <t>BBB600</t>
  </si>
  <si>
    <t>Shippers for Berry Boxes, 8 Count Quart Hi-Stacker, Bundle of 25</t>
  </si>
  <si>
    <t>BBB10Q</t>
  </si>
  <si>
    <t>Shippers for Berry Boxes, 12 Count Pint shipper, Bundle of 25</t>
  </si>
  <si>
    <t>BBB10P</t>
  </si>
  <si>
    <t>Shippers for Berry Boxes, 12 Count 1/2 Pint shipper, Bundle of 25</t>
  </si>
  <si>
    <t>BBB05P</t>
  </si>
  <si>
    <t>HYGEINE PRODUCTS</t>
  </si>
  <si>
    <t>Note: subject to product shortages due to COVID-19.  You will not be charged for this item until order is confirmed.  If successful, follow up invoices will be sent in February.</t>
  </si>
  <si>
    <t>Sanidate 5.0, 5 Gal</t>
  </si>
  <si>
    <t>Latex Disposable Gloves, Food Grade, Medium, 100/Box</t>
  </si>
  <si>
    <t>SAF5M</t>
  </si>
  <si>
    <t>Latex Disposable Gloves, Food Grade, Large, 100/Box</t>
  </si>
  <si>
    <t>SAF5L</t>
  </si>
  <si>
    <t>Nitrile Gloves, Disposable, Box of 50</t>
  </si>
  <si>
    <t>Vermiculite #3A (Fine), 20#</t>
  </si>
  <si>
    <t>NGS</t>
  </si>
  <si>
    <t>TOV3</t>
  </si>
  <si>
    <t>CC02</t>
  </si>
  <si>
    <t>PPT04</t>
  </si>
  <si>
    <t>DGH007100</t>
  </si>
  <si>
    <t>GSC5034</t>
  </si>
  <si>
    <t>Greenhouse Trays and Pots: See Nolt's Greenhouse Catalog for offerings and use special order form below.  Prices are catalog cost with free shipping.</t>
  </si>
  <si>
    <t>Order Quantity</t>
  </si>
  <si>
    <t>Catalog Price</t>
  </si>
  <si>
    <t>Notes / Additional Info</t>
  </si>
  <si>
    <t>Lakeview Seed Shipping Surcharge, if Applicable (enter # of bags)</t>
  </si>
  <si>
    <t>Vendor</t>
  </si>
  <si>
    <t>Catalog</t>
  </si>
  <si>
    <t>Farmers Friend</t>
  </si>
  <si>
    <t>https://www.farmersfriend.com/products</t>
  </si>
  <si>
    <t>Kreher Family Farm</t>
  </si>
  <si>
    <t>https://www.krehereggs.com/compost-fertilizer</t>
  </si>
  <si>
    <t>Lakeview Organic Grain</t>
  </si>
  <si>
    <t>https://lakevieworganicgrain.com/wp-content/uploads/Spring-2021-seed-price-list.pdf</t>
  </si>
  <si>
    <t>Nolt's Greenhouse Supply</t>
  </si>
  <si>
    <t>http://noltsgreenhousesupplies.com/NGScatalog.pdf</t>
  </si>
  <si>
    <t>Nolt's Produce Supply</t>
  </si>
  <si>
    <t>http://www.noltsproducesupplies.net/NPScatalog.pdf</t>
  </si>
  <si>
    <t>Progressive Grower</t>
  </si>
  <si>
    <t>https://progressivegrower.com/</t>
  </si>
  <si>
    <t>Small Farm Works</t>
  </si>
  <si>
    <t>https://www.smallfarmworks.com/store</t>
  </si>
  <si>
    <r>
      <rPr>
        <b/>
        <sz val="12"/>
        <rFont val="Arial"/>
      </rPr>
      <t>Sulfate of Potash, Soluble, 0-0-52 50#</t>
    </r>
    <r>
      <rPr>
        <sz val="12"/>
        <color rgb="FF000000"/>
        <rFont val="Arial"/>
      </rPr>
      <t>:  A mined rock that provides potassium and readily available sulfur. Soluble form for fertigation.</t>
    </r>
  </si>
  <si>
    <r>
      <rPr>
        <b/>
        <sz val="12"/>
        <rFont val="Arial"/>
      </rPr>
      <t>Sulfate of Potash, 0-0-50 Granular OMRI, 50#.</t>
    </r>
    <r>
      <rPr>
        <sz val="12"/>
        <color rgb="FF000000"/>
        <rFont val="Arial"/>
      </rPr>
      <t xml:space="preserve"> A white granule that provides 50% potash and 17% sulfur to crops. </t>
    </r>
  </si>
  <si>
    <r>
      <rPr>
        <b/>
        <sz val="12"/>
        <rFont val="Arial"/>
      </rPr>
      <t>0-0-22 Sul-Po-Mag, 50#.</t>
    </r>
    <r>
      <rPr>
        <sz val="12"/>
        <color rgb="FF000000"/>
        <rFont val="Arial"/>
      </rPr>
      <t xml:space="preserve">  Made of a soluble sulfate of potash magnesia. Apply the crushed mineral in areas where magnesium and potassium are deficient and calcium is abundant. Soil pH will remain the same.</t>
    </r>
  </si>
  <si>
    <r>
      <rPr>
        <b/>
        <sz val="12"/>
        <rFont val="Arial"/>
      </rPr>
      <t>Super K, 3-4-7, 50#.</t>
    </r>
    <r>
      <rPr>
        <sz val="12"/>
        <color rgb="FF000000"/>
        <rFont val="Arial"/>
      </rPr>
      <t xml:space="preserve"> Blended with crab meal for nematode control and high natural potassium required for larger fruited vegetables.</t>
    </r>
  </si>
  <si>
    <r>
      <rPr>
        <b/>
        <sz val="12"/>
        <rFont val="Arial"/>
      </rPr>
      <t>Blood Meal 12-0-0, 50#.</t>
    </r>
    <r>
      <rPr>
        <sz val="12"/>
        <color rgb="FF000000"/>
        <rFont val="Arial"/>
      </rPr>
      <t xml:space="preserve">  A fast release source of organic nitrogen. Can also be used in compost piles to increase the speed of the decomposition process and also tends to act as a deer repellent.</t>
    </r>
  </si>
  <si>
    <r>
      <rPr>
        <b/>
        <sz val="12"/>
        <rFont val="Arial"/>
      </rPr>
      <t>Aragonite, Coarse, 50#.</t>
    </r>
    <r>
      <rPr>
        <sz val="12"/>
        <color rgb="FF000000"/>
        <rFont val="Arial"/>
      </rPr>
      <t xml:space="preserve">  Apply to the soil for a highly available source of calcium and trace minerals. Made of marl, which comes from the ocean.</t>
    </r>
  </si>
  <si>
    <r>
      <rPr>
        <b/>
        <sz val="12"/>
        <rFont val="Arial"/>
      </rPr>
      <t>Menefee Humates, 50#.</t>
    </r>
    <r>
      <rPr>
        <sz val="12"/>
        <color rgb="FF000000"/>
        <rFont val="Arial"/>
      </rPr>
      <t xml:space="preserve">  This rich, humus based granular soil conditioner improves acidity levels and acts as an organic chelator, which helps the plants utilize the nutrients in the soil. It also stimulates microbial growth. When used with balanced fertilization, Menefee Humate can significantly improve poor soils.</t>
    </r>
  </si>
  <si>
    <r>
      <rPr>
        <b/>
        <sz val="12"/>
        <rFont val="Arial"/>
      </rPr>
      <t xml:space="preserve">Zeolite.  </t>
    </r>
    <r>
      <rPr>
        <sz val="12"/>
        <color rgb="FF000000"/>
        <rFont val="Arial"/>
      </rPr>
      <t>Will cut fertilizer and water costs by holding the nutrients and water in the root zone until the plant is ready to utilize them, requiring less fertilizer and water to be applied. When used properly, Zeolite can also yield impressive results in regards to faster germination times, faster growth rates, larger plants, and crop yields and reduced fertilizer and water applications.</t>
    </r>
  </si>
  <si>
    <r>
      <rPr>
        <b/>
        <sz val="12"/>
        <rFont val="Arial"/>
      </rPr>
      <t>Epsom Salts, 55#.</t>
    </r>
    <r>
      <rPr>
        <sz val="12"/>
        <color rgb="FF000000"/>
        <rFont val="Arial"/>
      </rPr>
      <t xml:space="preserve">  Epsom salt or magnesium sulfate is used where magnesium deficiencies occur in alkaline conditions, where a dolomitic lime application is inappropriate. Epsom sale is readily soluble in water.</t>
    </r>
  </si>
  <si>
    <r>
      <rPr>
        <b/>
        <sz val="12"/>
        <rFont val="Arial"/>
      </rPr>
      <t xml:space="preserve">Tomato Hooks, From Nolt's: </t>
    </r>
    <r>
      <rPr>
        <sz val="12"/>
        <color rgb="FF000000"/>
        <rFont val="Arial"/>
      </rPr>
      <t xml:space="preserve"> Wire hook releases approcimately 7" of twine each time they are turned over.  Pre-loaded hook includes 30' of UV-resistant white twine prewrapped on the hook and 10' loose so it can free-fall out of the case to speed installation.</t>
    </r>
  </si>
  <si>
    <r>
      <rPr>
        <b/>
        <sz val="12"/>
        <rFont val="Arial"/>
      </rPr>
      <t>Tomato Roller Hooks, From Nolt's</t>
    </r>
    <r>
      <rPr>
        <sz val="12"/>
        <color rgb="FF000000"/>
        <rFont val="Arial"/>
      </rPr>
      <t>: A labor-saving device to lower/lean crops in a smooth, controlled way.  Heavy-gauge wire frame supports a spool of twine with 100' of UV-resistant white twine.  Easily clips over wire.  Concurrently releases twine while sliding down the wire to lower and lean trellised crops.</t>
    </r>
  </si>
  <si>
    <r>
      <rPr>
        <b/>
        <sz val="12"/>
        <rFont val="Arial"/>
      </rPr>
      <t>White Trellis Netting,</t>
    </r>
    <r>
      <rPr>
        <sz val="12"/>
        <color rgb="FF000000"/>
        <rFont val="Arial"/>
      </rPr>
      <t xml:space="preserve"> From Nolt's: A lightweight, robust, UV stabilied netting to support climbing vegetables.</t>
    </r>
  </si>
  <si>
    <r>
      <rPr>
        <b/>
        <sz val="12"/>
        <rFont val="Arial"/>
      </rPr>
      <t>Entrust:</t>
    </r>
    <r>
      <rPr>
        <sz val="12"/>
        <color rgb="FF000000"/>
        <rFont val="Arial"/>
      </rPr>
      <t xml:space="preserve"> Produced through the fermentation of spirosad, Entrust SC provides control of a huge range of insects. Registered for use on organically produced crops, it demonstrates good activity against pests like army worms, thrips, leaf-miners, codling moth, cherry fruit flies and Spotted Wing Drosophila. Provides pest specific control with a relatively low toxicity to nontarget organisms, including many benefi cial insects. It wont cause a flare in mites, aphids, or other secondary pests. It is the only OMRI listed product that effectively controls worms, thrips and leaf-miners. Four hour re-entry interval.</t>
    </r>
  </si>
  <si>
    <r>
      <rPr>
        <b/>
        <sz val="12"/>
        <rFont val="Arial"/>
      </rPr>
      <t>Miller Hot Sauce</t>
    </r>
    <r>
      <rPr>
        <sz val="12"/>
        <color rgb="FF000000"/>
        <rFont val="Arial"/>
      </rPr>
      <t>, From Nolt's: EPA registered animal repellent formulated as a 2.5% Capsaicin extract concentrate.  Repels deer, eld, rabbits, voles, squirrels and other nuisance animals which feed on crops and horticulture plants.  Use with Nu-film 17 or Vapor Gard.</t>
    </r>
  </si>
  <si>
    <r>
      <rPr>
        <b/>
        <sz val="12"/>
        <rFont val="Arial"/>
      </rPr>
      <t>Surround:</t>
    </r>
    <r>
      <rPr>
        <sz val="12"/>
        <color rgb="FF000000"/>
        <rFont val="Arial"/>
      </rPr>
      <t xml:space="preserve"> This fossilized diatom flour is abrasive and absorpƟ ve, razor sharp at the microscopic level, physically wears through insects’ waxy outer cuƟ cle. Absorbs insect’s body fl uids until it dies from dehydration, insects cannot develop immunity, less, odorless and permanent.</t>
    </r>
  </si>
  <si>
    <r>
      <rPr>
        <b/>
        <sz val="12"/>
        <rFont val="Arial"/>
      </rPr>
      <t>AzaGuard:</t>
    </r>
    <r>
      <rPr>
        <sz val="12"/>
        <color rgb="FF000000"/>
        <rFont val="Arial"/>
      </rPr>
      <t xml:space="preserve"> This fossilized diatom flour is abrasive and absorptive, razor sharp at the microscopic level, physically wears through insects’ waxy outer cuticle. Absorbs insect’s body fluids until it dies from dehydration, insects cannot develop immunity, less, odorless and permanent.</t>
    </r>
  </si>
  <si>
    <r>
      <rPr>
        <b/>
        <sz val="12"/>
        <rFont val="Arial"/>
      </rPr>
      <t>Dipel:</t>
    </r>
    <r>
      <rPr>
        <sz val="12"/>
        <color rgb="FF000000"/>
        <rFont val="Arial"/>
      </rPr>
      <t xml:space="preserve"> Dissolves better in water than wetable powders. Granulated, no dust or clumping when mixed. Specific to leaf eating caterpillars, DiPel controls gypsy moth tent caterpillars, cabbage looper, tomato hornworm, leafroller, and more. For use on vegetables, fruits, flowers, ornamentals, and lawns. Harmless to humans, animals, and beneficial insects.</t>
    </r>
  </si>
  <si>
    <r>
      <rPr>
        <b/>
        <sz val="12"/>
        <rFont val="Arial"/>
      </rPr>
      <t>Row Bags, From Farmer's Friend.</t>
    </r>
    <r>
      <rPr>
        <sz val="12"/>
        <color rgb="FF000000"/>
        <rFont val="Arial"/>
      </rPr>
      <t xml:space="preserve">  With a longer sur­face area than stan­dard sand bags, these row bags will pro­vide a more secure hold. You can now fill them with even more mate­r­i­al, like rocks or grav­el, to make them heav­ier than was pos­si­ble with our orig­i­nal sand bags. And thanks to the built-in han­dle they’ll be eas­i­er than ever to trans­port around your farm!</t>
    </r>
  </si>
  <si>
    <r>
      <rPr>
        <b/>
        <sz val="12"/>
        <rFont val="Arial"/>
      </rPr>
      <t>Bulk Bin, MACXAce 1500Lb Capacity</t>
    </r>
    <r>
      <rPr>
        <sz val="12"/>
        <color rgb="FF000000"/>
        <rFont val="Arial"/>
      </rPr>
      <t>, From Nolt's: Heavy duty, safe for stacking up to 10 high.  Smooth surfaces and rounded corners.  Made with high-density polyethelyne which we have found to be stronger and more pliable than competitors polypropylene bins.  See Nolt's catalog pg. 24 for specifications.</t>
    </r>
  </si>
  <si>
    <r>
      <rPr>
        <b/>
        <sz val="12"/>
        <rFont val="Arial"/>
      </rPr>
      <t>ShuttleBin 330, From Nolt's:</t>
    </r>
    <r>
      <rPr>
        <sz val="12"/>
        <color rgb="FF000000"/>
        <rFont val="Arial"/>
      </rPr>
      <t xml:space="preserve"> ShuttleBin's folding design reduces transport and storage costs.  Optional drop down door for easy access to produce at te bottom of the bin.  Heavy duty, easy to sanitize and won't contaminate like wood.  Safe to stack up to 8 high.  Four way forklift entrance.  Fully vented side walls &amp; base.  See Nolt's catalog pg. 24 for detailed specifications.</t>
    </r>
  </si>
  <si>
    <r>
      <rPr>
        <b/>
        <sz val="12"/>
        <rFont val="Arial"/>
      </rPr>
      <t>Coconut Coir Block</t>
    </r>
    <r>
      <rPr>
        <sz val="12"/>
        <color rgb="FF000000"/>
        <rFont val="Arial"/>
      </rPr>
      <t>, 2-2.5 Cu Ft.  This 12” x 12” x 6” block yields 2 to 2.5 Cu. Ft loose. With easy wet expansion. Coir is used as soil amendment with peat and perlite. Or in place of peat moss for soilless potting mixes. Less acidic than peat and has a higher water retention.</t>
    </r>
  </si>
  <si>
    <r>
      <rPr>
        <b/>
        <sz val="12"/>
        <rFont val="Arial"/>
      </rPr>
      <t>Polypatch Greenhouse Tape</t>
    </r>
    <r>
      <rPr>
        <sz val="12"/>
        <color rgb="FF000000"/>
        <rFont val="Arial"/>
      </rPr>
      <t>, 4' x 48'.  A rugged patching tape that is perfect for mending greenhouse rips and tears. Clear, polyethylene tape with a medium tack acrylic-based adhesive with a white poly coated release liner.</t>
    </r>
  </si>
  <si>
    <r>
      <rPr>
        <b/>
        <sz val="12"/>
        <rFont val="Arial"/>
      </rPr>
      <t>Dramm Colorstorm Hose</t>
    </r>
    <r>
      <rPr>
        <sz val="12"/>
        <color rgb="FF000000"/>
        <rFont val="Arial"/>
      </rPr>
      <t>, 3/4" x 100'.  Dramm ColorStorm-Professional Rubber Hose is made from EPDM rubber for a "crackless" hose cover that is resistant to abrasion and weathering. Heavy, hex shape that resists kinking.</t>
    </r>
  </si>
  <si>
    <r>
      <rPr>
        <b/>
        <sz val="12"/>
        <rFont val="Arial"/>
      </rPr>
      <t>Black Knitted Shade Cloth, 50%, 34'x100'</t>
    </r>
    <r>
      <rPr>
        <sz val="12"/>
        <color rgb="FF000000"/>
        <rFont val="Arial"/>
      </rPr>
      <t>.  100% UV stabilized polyethylene with a lock stitch construction that keeps edges from unraveling. The material to be cut to exact size on job site with household scissors. "Clip-its" for 4ft spacing, on length of both sides are supplied at no extra charge.</t>
    </r>
  </si>
  <si>
    <r>
      <rPr>
        <b/>
        <sz val="12"/>
        <rFont val="Arial"/>
      </rPr>
      <t>Diatomaceous Earth, 50#</t>
    </r>
  </si>
  <si>
    <t>Item Number</t>
  </si>
  <si>
    <r>
      <t>Feather Meal, 13-0-0, 50#.</t>
    </r>
    <r>
      <rPr>
        <sz val="12"/>
        <color theme="1"/>
        <rFont val="Helvetica Neue"/>
      </rPr>
      <t xml:space="preserve"> Good for crops that need steady, long lasting nitrogen. Because of its low water solubility, leaching is almost nonexistent. The nitrogen becomes available to plants through microbial activity.</t>
    </r>
  </si>
  <si>
    <t xml:space="preserve">Full Catalog of Paper Pot Equipment Available, popular items below.  Prices for most special order items will be catalog price + free shipping.  See smallfarmworks.com and use special order form at the bottom of this sheet.  </t>
  </si>
  <si>
    <t>Paper Shopping Bags with Handles (1.6th Bbl Printed "Thank You")</t>
  </si>
  <si>
    <t>Produce Bags on a Roll, 12x20 Unprinted, Case of 4 rolls (1000 bags/roll)</t>
  </si>
  <si>
    <t>Ziplock Bags, 4x6</t>
  </si>
  <si>
    <t>Ziplock Bags, 5x7</t>
  </si>
  <si>
    <t>Ziplock Bags, 9x12</t>
  </si>
  <si>
    <t>Ziplock Bags, 8x10</t>
  </si>
  <si>
    <t>Pumpkin Bin, 36" Cardboard (45x37x36)</t>
  </si>
  <si>
    <t>Handheld Tape Dispenser</t>
  </si>
  <si>
    <r>
      <t xml:space="preserve">We have access to the full catalog for each vendors. If you don't find what you're looking for above, please use this order form to add on items to your order. 
</t>
    </r>
    <r>
      <rPr>
        <b/>
        <sz val="12"/>
        <rFont val="Arial"/>
      </rPr>
      <t>1. Item:</t>
    </r>
    <r>
      <rPr>
        <sz val="12"/>
        <color rgb="FF000000"/>
        <rFont val="Arial"/>
      </rPr>
      <t xml:space="preserve"> Enter the item name as it appears in the catalog.  Include variations like size and color, if there are more than one option.
</t>
    </r>
    <r>
      <rPr>
        <b/>
        <sz val="12"/>
        <rFont val="Arial"/>
      </rPr>
      <t>2. Order Quantity:</t>
    </r>
    <r>
      <rPr>
        <sz val="12"/>
        <color rgb="FF000000"/>
        <rFont val="Arial"/>
      </rPr>
      <t xml:space="preserve"> Enter your desired number of items
</t>
    </r>
    <r>
      <rPr>
        <b/>
        <sz val="12"/>
        <rFont val="Arial"/>
      </rPr>
      <t>3. Price:</t>
    </r>
    <r>
      <rPr>
        <sz val="12"/>
        <color rgb="FF000000"/>
        <rFont val="Arial"/>
      </rPr>
      <t xml:space="preserve"> Enter the catalog price.  
</t>
    </r>
    <r>
      <rPr>
        <b/>
        <sz val="12"/>
        <rFont val="Arial"/>
      </rPr>
      <t>4. Additional Notes:</t>
    </r>
    <r>
      <rPr>
        <sz val="12"/>
        <color rgb="FF000000"/>
        <rFont val="Arial"/>
      </rPr>
      <t xml:space="preserve"> (optional) If there is any information not included in the Item line, include it here 
</t>
    </r>
    <r>
      <rPr>
        <b/>
        <sz val="12"/>
        <rFont val="Arial"/>
      </rPr>
      <t>5. Vendor Code:</t>
    </r>
    <r>
      <rPr>
        <sz val="12"/>
        <color rgb="FF000000"/>
        <rFont val="Arial"/>
      </rPr>
      <t xml:space="preserve">  Enter the vendor code to indicate which supplier the item comes from.  Codes are listed below.
</t>
    </r>
    <r>
      <rPr>
        <b/>
        <sz val="12"/>
        <rFont val="Arial"/>
      </rPr>
      <t>6. Item Number:</t>
    </r>
    <r>
      <rPr>
        <sz val="12"/>
        <color rgb="FF000000"/>
        <rFont val="Arial"/>
      </rPr>
      <t xml:space="preserve">  Enter the item # from the catalog, if one is visible.  Otherwise leave blank.
Final price will be the catalog price from the vendor with no shipping. Lakeview seed orders have a $5/bag shipping surchage the will be assessed on your order. Vendors catalogs are listed below. </t>
    </r>
  </si>
  <si>
    <t>Amendments</t>
  </si>
  <si>
    <t>Jump to Section:</t>
  </si>
  <si>
    <t>Cartons and Boxes</t>
  </si>
  <si>
    <t>Farm Seed</t>
  </si>
  <si>
    <t>Agricultural Fabrics</t>
  </si>
  <si>
    <t>Ground Cover</t>
  </si>
  <si>
    <t>Greenhouse</t>
  </si>
  <si>
    <t>Harvest Containers</t>
  </si>
  <si>
    <t>Hygeine Supplies</t>
  </si>
  <si>
    <t>Irrigation</t>
  </si>
  <si>
    <t>Paper Pots</t>
  </si>
  <si>
    <t>Plastic Mulch</t>
  </si>
  <si>
    <t>Silage Tarps</t>
  </si>
  <si>
    <t>Sprays &amp; Controls</t>
  </si>
  <si>
    <t>Trellising Suppies</t>
  </si>
  <si>
    <t>Wish List Items</t>
  </si>
  <si>
    <t>Special Order</t>
  </si>
  <si>
    <t>NVS</t>
  </si>
  <si>
    <t>https://www.neversinktools.com/</t>
  </si>
  <si>
    <t>Neversink Tools</t>
  </si>
  <si>
    <t>Buckhorn</t>
  </si>
  <si>
    <t>BCK</t>
  </si>
  <si>
    <t>https://buckhorninc.com/</t>
  </si>
  <si>
    <t>Wish list items are items that one or more farms would like to order, but need to reach an order minimum to achieve the listed price. Enter your desired quantity, but you will ONLY be charged for this item if the total orders from all farms reach the goal.  Got an item you'd like added to the wish list next year?  Let us know!</t>
  </si>
  <si>
    <t>Buckhorn Harvest Bins, short size, 20x12x7.  Goal is 80 bins plus meeting the 500 bin goal above.</t>
  </si>
  <si>
    <t>AC21151202</t>
  </si>
  <si>
    <t>Buckhorn Harvest Bins, full size, 21x15x12.  Super durable harvest/storage bins with attached lids.  Goal is 500 bins.</t>
  </si>
  <si>
    <t>AR20120702</t>
  </si>
  <si>
    <t>Are you interested to volunteer to distribute orders?</t>
  </si>
  <si>
    <t>Tomato Box, 10# Flat, 10 Count</t>
  </si>
  <si>
    <t>Tomato Box, 25# with lid, Bundle of 20</t>
  </si>
  <si>
    <t>Lids for 25# Tomato Box, Bundle of 30</t>
  </si>
  <si>
    <t>1 1/9 Bushel Wax Alternative Box (lightly waxed inside only), Bundle of 25</t>
  </si>
  <si>
    <t>1/2 Bushel Wax Alternative Box (lightly waxed inside only), Bundle of 25</t>
  </si>
  <si>
    <t>1 1/9 Bushel Wax Box, Medium Weight (200# Test), Bundle of 15</t>
  </si>
  <si>
    <t>1/2 Bushel Wax Box,Bundle of 15</t>
  </si>
  <si>
    <t>Cabbage Box, 1.75 Bushel, 23x13x13", bundle of 15</t>
  </si>
  <si>
    <t>Greens Box, 1.35 Bushel, 18x12x12, Bundle of 15</t>
  </si>
  <si>
    <t>Liners for 1/2 Bushel, Perforated Plastic, Case of 500</t>
  </si>
  <si>
    <t>Liners for 1 1/9 Bushel, Perforated Plastic, Case of 250</t>
  </si>
  <si>
    <t>STP</t>
  </si>
  <si>
    <t>CARTONS &amp; BOXES, FROM NOLTS &amp; STANLEY PAPER</t>
  </si>
  <si>
    <t>BAGS, BANDS &amp; ACCESSORIES FROM STANLEY PAPER</t>
  </si>
  <si>
    <t>Rubber Bands, #33 Crepe, 10Lbs</t>
  </si>
  <si>
    <t>Rubber Bands, #33 Green, 10Lbs</t>
  </si>
  <si>
    <t>Rubber Bands, #33 Red, 10Lbs</t>
  </si>
  <si>
    <t>Carton Sealing Tape, 2"x110 Yard Clear, 12 Rolls</t>
  </si>
  <si>
    <t>Masking Tape, 2" , 12 Rolls</t>
  </si>
  <si>
    <r>
      <t>Buckhorn Harvest Bins:</t>
    </r>
    <r>
      <rPr>
        <sz val="12"/>
        <color rgb="FF000000"/>
        <rFont val="Helvetica Neue"/>
      </rPr>
      <t xml:space="preserve"> See line 308, "Wish List" to order.</t>
    </r>
  </si>
  <si>
    <t>Email complete order forms to letterboxcollective@gmail.com.  For more info, visit hvfarmbulkorder.com.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</si>
</sst>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30" x14ac:knownFonts="1">
    <font>
      <sz val="10"/>
      <color rgb="FF000000"/>
      <name val="Arial"/>
    </font>
    <font>
      <u/>
      <sz val="10"/>
      <color theme="10"/>
      <name val="Arial"/>
    </font>
    <font>
      <b/>
      <sz val="12"/>
      <color theme="1"/>
      <name val="Montserrat"/>
    </font>
    <font>
      <sz val="12"/>
      <color rgb="FF000000"/>
      <name val="Arial"/>
    </font>
    <font>
      <b/>
      <sz val="12"/>
      <color rgb="FF666666"/>
      <name val="Montserrat"/>
    </font>
    <font>
      <b/>
      <sz val="12"/>
      <color rgb="FF000000"/>
      <name val="Arial"/>
    </font>
    <font>
      <b/>
      <sz val="12"/>
      <color rgb="FF000000"/>
      <name val="Montserrat"/>
    </font>
    <font>
      <sz val="12"/>
      <name val="Arial"/>
    </font>
    <font>
      <b/>
      <sz val="12"/>
      <color theme="1"/>
      <name val="Helvetica Neue"/>
    </font>
    <font>
      <sz val="12"/>
      <color theme="1"/>
      <name val="Montserrat"/>
    </font>
    <font>
      <sz val="12"/>
      <color rgb="FF000000"/>
      <name val="Montserrat"/>
    </font>
    <font>
      <sz val="12"/>
      <color theme="1"/>
      <name val="Helvetica Neue"/>
    </font>
    <font>
      <b/>
      <sz val="12"/>
      <color rgb="FF666666"/>
      <name val="Helvetica Neue"/>
    </font>
    <font>
      <sz val="12"/>
      <color theme="1"/>
      <name val="Arial"/>
    </font>
    <font>
      <b/>
      <sz val="12"/>
      <name val="Arial"/>
    </font>
    <font>
      <b/>
      <sz val="12"/>
      <color theme="1"/>
      <name val="Arial"/>
    </font>
    <font>
      <sz val="12"/>
      <color rgb="FF666666"/>
      <name val="Helvetica Neue"/>
    </font>
    <font>
      <u/>
      <sz val="12"/>
      <color rgb="FF0000FF"/>
      <name val="Helvetica Neue"/>
    </font>
    <font>
      <sz val="48"/>
      <color theme="6" tint="0.39997558519241921"/>
      <name val="Cooper Black"/>
    </font>
    <font>
      <u/>
      <sz val="10"/>
      <color theme="11"/>
      <name val="Arial"/>
    </font>
    <font>
      <sz val="48"/>
      <color rgb="FFFDD868"/>
      <name val="Rockwell Extra Bold"/>
    </font>
    <font>
      <sz val="72"/>
      <color theme="6" tint="0.39997558519241921"/>
      <name val="Rockwell Extra Bold"/>
    </font>
    <font>
      <sz val="48"/>
      <color theme="6" tint="0.39997558519241921"/>
      <name val="Rockwell Extra Bold"/>
    </font>
    <font>
      <sz val="12"/>
      <color rgb="FF222222"/>
      <name val="Arial"/>
    </font>
    <font>
      <sz val="12"/>
      <color theme="0"/>
      <name val="Helvetica Neue"/>
    </font>
    <font>
      <sz val="12"/>
      <color theme="0"/>
      <name val="Arial"/>
    </font>
    <font>
      <b/>
      <sz val="12"/>
      <color rgb="FF000000"/>
      <name val="Helvetica Neue"/>
    </font>
    <font>
      <sz val="12"/>
      <color rgb="FF000000"/>
      <name val="Helvetica Neue"/>
    </font>
    <font>
      <u/>
      <sz val="12"/>
      <color theme="10"/>
      <name val="Arial"/>
    </font>
    <font>
      <sz val="8"/>
      <name val="Arial"/>
    </font>
  </fonts>
  <fills count="18">
    <fill>
      <patternFill patternType="none"/>
    </fill>
    <fill>
      <patternFill patternType="gray125"/>
    </fill>
    <fill>
      <patternFill patternType="solid">
        <fgColor rgb="FFEA9999"/>
        <bgColor rgb="FFEA9999"/>
      </patternFill>
    </fill>
    <fill>
      <patternFill patternType="solid">
        <fgColor rgb="FFD9D9D9"/>
        <bgColor rgb="FFD9D9D9"/>
      </patternFill>
    </fill>
    <fill>
      <patternFill patternType="solid">
        <fgColor rgb="FFF3F3F3"/>
        <bgColor rgb="FFF3F3F3"/>
      </patternFill>
    </fill>
    <fill>
      <patternFill patternType="solid">
        <fgColor rgb="FFE6B8AF"/>
        <bgColor rgb="FFE6B8AF"/>
      </patternFill>
    </fill>
    <fill>
      <patternFill patternType="solid">
        <fgColor rgb="FFC9DAF8"/>
        <bgColor rgb="FFC9DAF8"/>
      </patternFill>
    </fill>
    <fill>
      <patternFill patternType="solid">
        <fgColor rgb="FFFFFFFF"/>
        <bgColor rgb="FFFFFFFF"/>
      </patternFill>
    </fill>
    <fill>
      <patternFill patternType="solid">
        <fgColor rgb="FFFFF2CC"/>
        <bgColor rgb="FFFFF2CC"/>
      </patternFill>
    </fill>
    <fill>
      <patternFill patternType="solid">
        <fgColor rgb="FFDDF2F0"/>
        <bgColor rgb="FFDDF2F0"/>
      </patternFill>
    </fill>
    <fill>
      <patternFill patternType="solid">
        <fgColor rgb="FFEFEFEF"/>
        <bgColor rgb="FFEFEFEF"/>
      </patternFill>
    </fill>
    <fill>
      <patternFill patternType="solid">
        <fgColor rgb="FFC4BD97"/>
        <bgColor rgb="FFC4BD97"/>
      </patternFill>
    </fill>
    <fill>
      <patternFill patternType="solid">
        <fgColor theme="0"/>
        <bgColor rgb="FFDDF2F0"/>
      </patternFill>
    </fill>
    <fill>
      <patternFill patternType="solid">
        <fgColor theme="0"/>
        <bgColor indexed="64"/>
      </patternFill>
    </fill>
    <fill>
      <patternFill patternType="solid">
        <fgColor theme="1" tint="0.34998626667073579"/>
        <bgColor rgb="FFFFFFFF"/>
      </patternFill>
    </fill>
    <fill>
      <patternFill patternType="solid">
        <fgColor theme="1" tint="0.34998626667073579"/>
        <bgColor rgb="FFE6B8AF"/>
      </patternFill>
    </fill>
    <fill>
      <patternFill patternType="solid">
        <fgColor theme="2" tint="-4.9989318521683403E-2"/>
        <bgColor rgb="FFF3F3F3"/>
      </patternFill>
    </fill>
    <fill>
      <patternFill patternType="solid">
        <fgColor theme="2" tint="-4.9989318521683403E-2"/>
        <bgColor indexed="64"/>
      </patternFill>
    </fill>
  </fills>
  <borders count="54">
    <border>
      <left/>
      <right/>
      <top/>
      <bottom/>
      <diagonal/>
    </border>
    <border>
      <left style="medium">
        <color rgb="FFEA9999"/>
      </left>
      <right style="medium">
        <color rgb="FFEA9999"/>
      </right>
      <top style="medium">
        <color rgb="FFEA9999"/>
      </top>
      <bottom/>
      <diagonal/>
    </border>
    <border>
      <left/>
      <right style="medium">
        <color rgb="FFFFE599"/>
      </right>
      <top/>
      <bottom/>
      <diagonal/>
    </border>
    <border>
      <left style="medium">
        <color rgb="FFFFE599"/>
      </left>
      <right style="medium">
        <color rgb="FFFFE599"/>
      </right>
      <top/>
      <bottom/>
      <diagonal/>
    </border>
    <border>
      <left style="medium">
        <color rgb="FFCCCCCC"/>
      </left>
      <right/>
      <top style="medium">
        <color rgb="FFCCCCCC"/>
      </top>
      <bottom/>
      <diagonal/>
    </border>
    <border>
      <left/>
      <right style="medium">
        <color rgb="FFCCCCCC"/>
      </right>
      <top style="medium">
        <color rgb="FFCCCCCC"/>
      </top>
      <bottom/>
      <diagonal/>
    </border>
    <border>
      <left style="thick">
        <color rgb="FFA4C2F4"/>
      </left>
      <right/>
      <top style="thick">
        <color rgb="FFA4C2F4"/>
      </top>
      <bottom/>
      <diagonal/>
    </border>
    <border>
      <left/>
      <right/>
      <top style="thick">
        <color rgb="FFA4C2F4"/>
      </top>
      <bottom/>
      <diagonal/>
    </border>
    <border>
      <left/>
      <right style="thick">
        <color rgb="FFA4C2F4"/>
      </right>
      <top style="thick">
        <color rgb="FFA4C2F4"/>
      </top>
      <bottom/>
      <diagonal/>
    </border>
    <border>
      <left style="thick">
        <color rgb="FFA4C2F4"/>
      </left>
      <right/>
      <top/>
      <bottom/>
      <diagonal/>
    </border>
    <border>
      <left/>
      <right style="thick">
        <color rgb="FFA4C2F4"/>
      </right>
      <top/>
      <bottom/>
      <diagonal/>
    </border>
    <border>
      <left/>
      <right/>
      <top/>
      <bottom style="thick">
        <color rgb="FFA4C2F4"/>
      </bottom>
      <diagonal/>
    </border>
    <border>
      <left/>
      <right/>
      <top/>
      <bottom style="medium">
        <color rgb="FF6FA8DC"/>
      </bottom>
      <diagonal/>
    </border>
    <border>
      <left style="medium">
        <color rgb="FFEA9999"/>
      </left>
      <right style="medium">
        <color rgb="FFEA9999"/>
      </right>
      <top style="medium">
        <color rgb="FFEA9999"/>
      </top>
      <bottom style="medium">
        <color rgb="FFEA9999"/>
      </bottom>
      <diagonal/>
    </border>
    <border>
      <left style="medium">
        <color rgb="FFCCCCCC"/>
      </left>
      <right/>
      <top/>
      <bottom/>
      <diagonal/>
    </border>
    <border>
      <left/>
      <right style="medium">
        <color rgb="FFCCCCCC"/>
      </right>
      <top/>
      <bottom/>
      <diagonal/>
    </border>
    <border>
      <left/>
      <right/>
      <top style="medium">
        <color rgb="FF6FA8DC"/>
      </top>
      <bottom style="medium">
        <color rgb="FF6FA8DC"/>
      </bottom>
      <diagonal/>
    </border>
    <border>
      <left/>
      <right style="medium">
        <color rgb="FF6FA8DC"/>
      </right>
      <top style="medium">
        <color rgb="FF6FA8DC"/>
      </top>
      <bottom style="medium">
        <color rgb="FF6FA8DC"/>
      </bottom>
      <diagonal/>
    </border>
    <border>
      <left/>
      <right/>
      <top style="medium">
        <color rgb="FFC9DAF8"/>
      </top>
      <bottom style="medium">
        <color rgb="FFC9DAF8"/>
      </bottom>
      <diagonal/>
    </border>
    <border>
      <left style="medium">
        <color rgb="FFEA9999"/>
      </left>
      <right style="medium">
        <color rgb="FFEA9999"/>
      </right>
      <top/>
      <bottom style="medium">
        <color rgb="FFEA9999"/>
      </bottom>
      <diagonal/>
    </border>
    <border>
      <left/>
      <right/>
      <top style="medium">
        <color rgb="FF6FA8DC"/>
      </top>
      <bottom/>
      <diagonal/>
    </border>
    <border>
      <left style="medium">
        <color rgb="FF6FA8DC"/>
      </left>
      <right/>
      <top style="medium">
        <color rgb="FF6FA8DC"/>
      </top>
      <bottom style="medium">
        <color rgb="FF6FA8DC"/>
      </bottom>
      <diagonal/>
    </border>
    <border>
      <left/>
      <right style="medium">
        <color rgb="FFFFD966"/>
      </right>
      <top/>
      <bottom/>
      <diagonal/>
    </border>
    <border>
      <left style="medium">
        <color rgb="FFFFE599"/>
      </left>
      <right/>
      <top style="medium">
        <color rgb="FF6FA8DC"/>
      </top>
      <bottom style="medium">
        <color rgb="FF6FA8DC"/>
      </bottom>
      <diagonal/>
    </border>
    <border>
      <left style="medium">
        <color rgb="FFFFE599"/>
      </left>
      <right style="medium">
        <color rgb="FFFFE599"/>
      </right>
      <top style="medium">
        <color rgb="FF6FA8DC"/>
      </top>
      <bottom/>
      <diagonal/>
    </border>
    <border>
      <left/>
      <right/>
      <top/>
      <bottom style="medium">
        <color rgb="FF4285F4"/>
      </bottom>
      <diagonal/>
    </border>
    <border>
      <left/>
      <right/>
      <top style="medium">
        <color rgb="FF4285F4"/>
      </top>
      <bottom style="medium">
        <color rgb="FF4285F4"/>
      </bottom>
      <diagonal/>
    </border>
    <border>
      <left style="thick">
        <color rgb="FF9FC5E8"/>
      </left>
      <right/>
      <top style="thick">
        <color rgb="FF9FC5E8"/>
      </top>
      <bottom/>
      <diagonal/>
    </border>
    <border>
      <left/>
      <right/>
      <top style="thick">
        <color rgb="FF9FC5E8"/>
      </top>
      <bottom/>
      <diagonal/>
    </border>
    <border>
      <left style="medium">
        <color rgb="FFEA9999"/>
      </left>
      <right style="medium">
        <color rgb="FFEA9999"/>
      </right>
      <top style="thick">
        <color rgb="FF9FC5E8"/>
      </top>
      <bottom style="medium">
        <color rgb="FFEA9999"/>
      </bottom>
      <diagonal/>
    </border>
    <border>
      <left/>
      <right style="medium">
        <color rgb="FFFFE599"/>
      </right>
      <top style="thick">
        <color rgb="FF9FC5E8"/>
      </top>
      <bottom/>
      <diagonal/>
    </border>
    <border>
      <left style="medium">
        <color rgb="FFFFE599"/>
      </left>
      <right/>
      <top style="thick">
        <color rgb="FF9FC5E8"/>
      </top>
      <bottom/>
      <diagonal/>
    </border>
    <border>
      <left style="medium">
        <color rgb="FFCCCCCC"/>
      </left>
      <right/>
      <top style="thick">
        <color rgb="FF9FC5E8"/>
      </top>
      <bottom/>
      <diagonal/>
    </border>
    <border>
      <left/>
      <right style="thick">
        <color rgb="FF9FC5E8"/>
      </right>
      <top style="thick">
        <color rgb="FF9FC5E8"/>
      </top>
      <bottom/>
      <diagonal/>
    </border>
    <border>
      <left style="thick">
        <color rgb="FF9FC5E8"/>
      </left>
      <right/>
      <top/>
      <bottom/>
      <diagonal/>
    </border>
    <border>
      <left style="medium">
        <color rgb="FFFFE599"/>
      </left>
      <right/>
      <top/>
      <bottom/>
      <diagonal/>
    </border>
    <border>
      <left/>
      <right style="thick">
        <color rgb="FF9FC5E8"/>
      </right>
      <top/>
      <bottom/>
      <diagonal/>
    </border>
    <border>
      <left style="thick">
        <color rgb="FF9FC5E8"/>
      </left>
      <right/>
      <top/>
      <bottom style="thick">
        <color rgb="FF9FC5E8"/>
      </bottom>
      <diagonal/>
    </border>
    <border>
      <left/>
      <right/>
      <top/>
      <bottom style="thick">
        <color rgb="FF9FC5E8"/>
      </bottom>
      <diagonal/>
    </border>
    <border>
      <left style="medium">
        <color rgb="FFEA9999"/>
      </left>
      <right style="medium">
        <color rgb="FFEA9999"/>
      </right>
      <top style="medium">
        <color rgb="FFEA9999"/>
      </top>
      <bottom style="thick">
        <color rgb="FF9FC5E8"/>
      </bottom>
      <diagonal/>
    </border>
    <border>
      <left/>
      <right style="medium">
        <color rgb="FFFFE599"/>
      </right>
      <top/>
      <bottom style="thick">
        <color rgb="FF9FC5E8"/>
      </bottom>
      <diagonal/>
    </border>
    <border>
      <left style="medium">
        <color rgb="FFFFE599"/>
      </left>
      <right/>
      <top/>
      <bottom style="thick">
        <color rgb="FF9FC5E8"/>
      </bottom>
      <diagonal/>
    </border>
    <border>
      <left style="medium">
        <color rgb="FFCCCCCC"/>
      </left>
      <right/>
      <top/>
      <bottom style="thick">
        <color rgb="FF6FA8DC"/>
      </bottom>
      <diagonal/>
    </border>
    <border>
      <left/>
      <right style="thick">
        <color rgb="FF9FC5E8"/>
      </right>
      <top/>
      <bottom style="thick">
        <color rgb="FF9FC5E8"/>
      </bottom>
      <diagonal/>
    </border>
    <border>
      <left/>
      <right/>
      <top/>
      <bottom style="medium">
        <color rgb="FFC9DAF8"/>
      </bottom>
      <diagonal/>
    </border>
    <border>
      <left style="thick">
        <color theme="4" tint="0.39997558519241921"/>
      </left>
      <right/>
      <top style="thick">
        <color theme="4" tint="0.39997558519241921"/>
      </top>
      <bottom/>
      <diagonal/>
    </border>
    <border>
      <left/>
      <right/>
      <top style="thick">
        <color theme="4" tint="0.39997558519241921"/>
      </top>
      <bottom/>
      <diagonal/>
    </border>
    <border>
      <left/>
      <right style="thick">
        <color theme="4" tint="0.39997558519241921"/>
      </right>
      <top style="thick">
        <color theme="4" tint="0.39997558519241921"/>
      </top>
      <bottom/>
      <diagonal/>
    </border>
    <border>
      <left style="thick">
        <color theme="4" tint="0.39997558519241921"/>
      </left>
      <right/>
      <top/>
      <bottom/>
      <diagonal/>
    </border>
    <border>
      <left/>
      <right style="thick">
        <color theme="4" tint="0.39997558519241921"/>
      </right>
      <top/>
      <bottom/>
      <diagonal/>
    </border>
    <border>
      <left style="thick">
        <color theme="4" tint="0.39997558519241921"/>
      </left>
      <right/>
      <top/>
      <bottom style="thick">
        <color theme="4" tint="0.39997558519241921"/>
      </bottom>
      <diagonal/>
    </border>
    <border>
      <left/>
      <right/>
      <top/>
      <bottom style="thick">
        <color theme="4" tint="0.39997558519241921"/>
      </bottom>
      <diagonal/>
    </border>
    <border>
      <left/>
      <right style="thick">
        <color theme="4" tint="0.39997558519241921"/>
      </right>
      <top/>
      <bottom style="thick">
        <color theme="4" tint="0.39997558519241921"/>
      </bottom>
      <diagonal/>
    </border>
    <border>
      <left style="thick">
        <color rgb="FFA4C2F4"/>
      </left>
      <right/>
      <top/>
      <bottom style="thick">
        <color rgb="FFA4C2F4"/>
      </bottom>
      <diagonal/>
    </border>
  </borders>
  <cellStyleXfs count="53">
    <xf numFmtId="0" fontId="0" fillId="0" borderId="0"/>
    <xf numFmtId="0" fontId="1"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cellStyleXfs>
  <cellXfs count="303">
    <xf numFmtId="0" fontId="0" fillId="0" borderId="0" xfId="0" applyFont="1" applyAlignment="1"/>
    <xf numFmtId="0" fontId="3" fillId="0" borderId="0" xfId="0" applyFont="1" applyAlignment="1"/>
    <xf numFmtId="4" fontId="2" fillId="3" borderId="0" xfId="0" applyNumberFormat="1" applyFont="1" applyFill="1" applyAlignment="1">
      <alignment horizontal="center" wrapText="1"/>
    </xf>
    <xf numFmtId="49" fontId="2" fillId="3" borderId="0" xfId="0" applyNumberFormat="1" applyFont="1" applyFill="1" applyAlignment="1">
      <alignment horizontal="center" wrapText="1"/>
    </xf>
    <xf numFmtId="10" fontId="2" fillId="3" borderId="0" xfId="0" applyNumberFormat="1" applyFont="1" applyFill="1" applyAlignment="1">
      <alignment horizontal="center" wrapText="1"/>
    </xf>
    <xf numFmtId="1" fontId="2" fillId="3" borderId="0" xfId="0" applyNumberFormat="1" applyFont="1" applyFill="1" applyAlignment="1">
      <alignment horizontal="right" wrapText="1"/>
    </xf>
    <xf numFmtId="4" fontId="2" fillId="4" borderId="0" xfId="0" applyNumberFormat="1" applyFont="1" applyFill="1" applyAlignment="1">
      <alignment horizontal="center" wrapText="1"/>
    </xf>
    <xf numFmtId="4" fontId="2" fillId="5" borderId="1" xfId="0" applyNumberFormat="1" applyFont="1" applyFill="1" applyBorder="1" applyAlignment="1">
      <alignment horizontal="center" wrapText="1"/>
    </xf>
    <xf numFmtId="4" fontId="2" fillId="6" borderId="2" xfId="0" applyNumberFormat="1" applyFont="1" applyFill="1" applyBorder="1" applyAlignment="1">
      <alignment horizontal="center" wrapText="1"/>
    </xf>
    <xf numFmtId="4" fontId="2" fillId="7" borderId="3" xfId="0" applyNumberFormat="1" applyFont="1" applyFill="1" applyBorder="1" applyAlignment="1">
      <alignment horizontal="center" wrapText="1"/>
    </xf>
    <xf numFmtId="9" fontId="6" fillId="7" borderId="3" xfId="0" applyNumberFormat="1" applyFont="1" applyFill="1" applyBorder="1" applyAlignment="1">
      <alignment horizontal="center" wrapText="1"/>
    </xf>
    <xf numFmtId="49" fontId="2" fillId="4" borderId="0" xfId="0" applyNumberFormat="1" applyFont="1" applyFill="1" applyAlignment="1">
      <alignment horizontal="center" wrapText="1"/>
    </xf>
    <xf numFmtId="10" fontId="2" fillId="4" borderId="0" xfId="0" applyNumberFormat="1" applyFont="1" applyFill="1" applyAlignment="1">
      <alignment horizontal="center" wrapText="1"/>
    </xf>
    <xf numFmtId="4" fontId="2" fillId="4" borderId="4" xfId="0" applyNumberFormat="1" applyFont="1" applyFill="1" applyBorder="1" applyAlignment="1">
      <alignment horizontal="center" wrapText="1"/>
    </xf>
    <xf numFmtId="0" fontId="2" fillId="4" borderId="0" xfId="0" applyFont="1" applyFill="1" applyAlignment="1">
      <alignment horizontal="right" wrapText="1"/>
    </xf>
    <xf numFmtId="0" fontId="2" fillId="4" borderId="10" xfId="0" applyFont="1" applyFill="1" applyBorder="1" applyAlignment="1">
      <alignment horizontal="right" wrapText="1"/>
    </xf>
    <xf numFmtId="0" fontId="2" fillId="7" borderId="0" xfId="0" applyFont="1" applyFill="1" applyAlignment="1">
      <alignment horizontal="right" wrapText="1"/>
    </xf>
    <xf numFmtId="0" fontId="2" fillId="7" borderId="10" xfId="0" applyFont="1" applyFill="1" applyBorder="1" applyAlignment="1">
      <alignment horizontal="right" wrapText="1"/>
    </xf>
    <xf numFmtId="0" fontId="2" fillId="4" borderId="8" xfId="0" applyFont="1" applyFill="1" applyBorder="1" applyAlignment="1">
      <alignment horizontal="right" wrapText="1"/>
    </xf>
    <xf numFmtId="0" fontId="10" fillId="7" borderId="0" xfId="0" applyFont="1" applyFill="1" applyAlignment="1"/>
    <xf numFmtId="0" fontId="10" fillId="4" borderId="0" xfId="0" applyFont="1" applyFill="1" applyAlignment="1"/>
    <xf numFmtId="0" fontId="11" fillId="8" borderId="12" xfId="0" applyFont="1" applyFill="1" applyBorder="1"/>
    <xf numFmtId="0" fontId="11" fillId="5" borderId="13" xfId="0" applyFont="1" applyFill="1" applyBorder="1"/>
    <xf numFmtId="4" fontId="8" fillId="6" borderId="2" xfId="0" applyNumberFormat="1" applyFont="1" applyFill="1" applyBorder="1"/>
    <xf numFmtId="0" fontId="11" fillId="7" borderId="3" xfId="0" applyFont="1" applyFill="1" applyBorder="1" applyAlignment="1">
      <alignment horizontal="right"/>
    </xf>
    <xf numFmtId="4" fontId="11" fillId="7" borderId="0" xfId="0" applyNumberFormat="1" applyFont="1" applyFill="1"/>
    <xf numFmtId="4" fontId="11" fillId="5" borderId="13" xfId="0" applyNumberFormat="1" applyFont="1" applyFill="1" applyBorder="1"/>
    <xf numFmtId="4" fontId="11" fillId="7" borderId="3" xfId="0" applyNumberFormat="1" applyFont="1" applyFill="1" applyBorder="1" applyAlignment="1">
      <alignment horizontal="right"/>
    </xf>
    <xf numFmtId="9" fontId="12" fillId="7" borderId="3" xfId="0" applyNumberFormat="1" applyFont="1" applyFill="1" applyBorder="1"/>
    <xf numFmtId="10" fontId="11" fillId="7" borderId="0" xfId="0" applyNumberFormat="1" applyFont="1" applyFill="1"/>
    <xf numFmtId="4" fontId="11" fillId="7" borderId="14" xfId="0" applyNumberFormat="1" applyFont="1" applyFill="1" applyBorder="1"/>
    <xf numFmtId="1" fontId="11" fillId="7" borderId="15" xfId="0" applyNumberFormat="1" applyFont="1" applyFill="1" applyBorder="1" applyAlignment="1">
      <alignment horizontal="right"/>
    </xf>
    <xf numFmtId="4" fontId="11" fillId="9" borderId="0" xfId="0" applyNumberFormat="1" applyFont="1" applyFill="1"/>
    <xf numFmtId="10" fontId="11" fillId="9" borderId="0" xfId="0" applyNumberFormat="1" applyFont="1" applyFill="1"/>
    <xf numFmtId="4" fontId="11" fillId="9" borderId="14" xfId="0" applyNumberFormat="1" applyFont="1" applyFill="1" applyBorder="1"/>
    <xf numFmtId="1" fontId="11" fillId="9" borderId="15" xfId="0" applyNumberFormat="1" applyFont="1" applyFill="1" applyBorder="1" applyAlignment="1">
      <alignment horizontal="right"/>
    </xf>
    <xf numFmtId="2" fontId="11" fillId="5" borderId="13" xfId="0" applyNumberFormat="1" applyFont="1" applyFill="1" applyBorder="1" applyAlignment="1"/>
    <xf numFmtId="2" fontId="11" fillId="7" borderId="0" xfId="0" applyNumberFormat="1" applyFont="1" applyFill="1"/>
    <xf numFmtId="2" fontId="11" fillId="5" borderId="13" xfId="0" applyNumberFormat="1" applyFont="1" applyFill="1" applyBorder="1"/>
    <xf numFmtId="2" fontId="11" fillId="9" borderId="0" xfId="0" applyNumberFormat="1" applyFont="1" applyFill="1"/>
    <xf numFmtId="164" fontId="11" fillId="9" borderId="0" xfId="0" applyNumberFormat="1" applyFont="1" applyFill="1"/>
    <xf numFmtId="4" fontId="11" fillId="9" borderId="15" xfId="0" applyNumberFormat="1" applyFont="1" applyFill="1" applyBorder="1" applyAlignment="1">
      <alignment horizontal="right"/>
    </xf>
    <xf numFmtId="4" fontId="11" fillId="7" borderId="15" xfId="0" applyNumberFormat="1" applyFont="1" applyFill="1" applyBorder="1" applyAlignment="1">
      <alignment horizontal="right"/>
    </xf>
    <xf numFmtId="2" fontId="13" fillId="5" borderId="13" xfId="0" applyNumberFormat="1" applyFont="1" applyFill="1" applyBorder="1" applyAlignment="1"/>
    <xf numFmtId="2" fontId="11" fillId="9" borderId="0" xfId="0" applyNumberFormat="1" applyFont="1" applyFill="1" applyAlignment="1">
      <alignment horizontal="right"/>
    </xf>
    <xf numFmtId="2" fontId="11" fillId="7" borderId="0" xfId="0" applyNumberFormat="1" applyFont="1" applyFill="1" applyAlignment="1">
      <alignment horizontal="right"/>
    </xf>
    <xf numFmtId="0" fontId="11" fillId="8" borderId="16" xfId="0" applyFont="1" applyFill="1" applyBorder="1"/>
    <xf numFmtId="10" fontId="11" fillId="8" borderId="16" xfId="0" applyNumberFormat="1" applyFont="1" applyFill="1" applyBorder="1"/>
    <xf numFmtId="1" fontId="11" fillId="8" borderId="17" xfId="0" applyNumberFormat="1" applyFont="1" applyFill="1" applyBorder="1" applyAlignment="1">
      <alignment horizontal="right"/>
    </xf>
    <xf numFmtId="2" fontId="11" fillId="5" borderId="13" xfId="0" applyNumberFormat="1" applyFont="1" applyFill="1" applyBorder="1" applyAlignment="1">
      <alignment horizontal="right"/>
    </xf>
    <xf numFmtId="4" fontId="8" fillId="7" borderId="0" xfId="0" applyNumberFormat="1" applyFont="1" applyFill="1" applyAlignment="1">
      <alignment vertical="center" wrapText="1"/>
    </xf>
    <xf numFmtId="4" fontId="11" fillId="7" borderId="0" xfId="0" applyNumberFormat="1" applyFont="1" applyFill="1" applyAlignment="1">
      <alignment wrapText="1"/>
    </xf>
    <xf numFmtId="4" fontId="11" fillId="9" borderId="0" xfId="0" applyNumberFormat="1" applyFont="1" applyFill="1" applyAlignment="1"/>
    <xf numFmtId="4" fontId="11" fillId="7" borderId="0" xfId="0" applyNumberFormat="1" applyFont="1" applyFill="1" applyAlignment="1"/>
    <xf numFmtId="2" fontId="11" fillId="5" borderId="19" xfId="0" applyNumberFormat="1" applyFont="1" applyFill="1" applyBorder="1" applyAlignment="1">
      <alignment horizontal="right"/>
    </xf>
    <xf numFmtId="4" fontId="8" fillId="6" borderId="2" xfId="0" applyNumberFormat="1" applyFont="1" applyFill="1" applyBorder="1" applyAlignment="1"/>
    <xf numFmtId="4" fontId="11" fillId="7" borderId="0" xfId="0" applyNumberFormat="1" applyFont="1" applyFill="1" applyAlignment="1">
      <alignment horizontal="right"/>
    </xf>
    <xf numFmtId="4" fontId="8" fillId="6" borderId="2" xfId="0" applyNumberFormat="1" applyFont="1" applyFill="1" applyBorder="1" applyAlignment="1">
      <alignment horizontal="right"/>
    </xf>
    <xf numFmtId="9" fontId="12" fillId="7" borderId="3" xfId="0" applyNumberFormat="1" applyFont="1" applyFill="1" applyBorder="1" applyAlignment="1">
      <alignment horizontal="right"/>
    </xf>
    <xf numFmtId="10" fontId="11" fillId="7" borderId="15" xfId="0" applyNumberFormat="1" applyFont="1" applyFill="1" applyBorder="1" applyAlignment="1">
      <alignment horizontal="right"/>
    </xf>
    <xf numFmtId="4" fontId="15" fillId="10" borderId="16" xfId="0" applyNumberFormat="1" applyFont="1" applyFill="1" applyBorder="1" applyAlignment="1">
      <alignment vertical="top"/>
    </xf>
    <xf numFmtId="4" fontId="15" fillId="10" borderId="17" xfId="0" applyNumberFormat="1" applyFont="1" applyFill="1" applyBorder="1" applyAlignment="1">
      <alignment vertical="top"/>
    </xf>
    <xf numFmtId="2" fontId="11" fillId="10" borderId="0" xfId="0" applyNumberFormat="1" applyFont="1" applyFill="1"/>
    <xf numFmtId="4" fontId="11" fillId="10" borderId="0" xfId="0" applyNumberFormat="1" applyFont="1" applyFill="1"/>
    <xf numFmtId="10" fontId="11" fillId="10" borderId="0" xfId="0" applyNumberFormat="1" applyFont="1" applyFill="1"/>
    <xf numFmtId="1" fontId="11" fillId="10" borderId="0" xfId="0" applyNumberFormat="1" applyFont="1" applyFill="1" applyAlignment="1">
      <alignment horizontal="right"/>
    </xf>
    <xf numFmtId="4" fontId="2" fillId="3" borderId="0" xfId="0" applyNumberFormat="1" applyFont="1" applyFill="1" applyAlignment="1">
      <alignment vertical="center" wrapText="1"/>
    </xf>
    <xf numFmtId="4" fontId="2" fillId="7" borderId="0" xfId="0" applyNumberFormat="1" applyFont="1" applyFill="1" applyAlignment="1">
      <alignment vertical="center" wrapText="1"/>
    </xf>
    <xf numFmtId="4" fontId="4" fillId="7" borderId="3" xfId="0" applyNumberFormat="1" applyFont="1" applyFill="1" applyBorder="1" applyAlignment="1">
      <alignment vertical="center" wrapText="1"/>
    </xf>
    <xf numFmtId="2" fontId="11" fillId="3" borderId="0" xfId="0" applyNumberFormat="1" applyFont="1" applyFill="1"/>
    <xf numFmtId="4" fontId="11" fillId="3" borderId="0" xfId="0" applyNumberFormat="1" applyFont="1" applyFill="1"/>
    <xf numFmtId="10" fontId="11" fillId="3" borderId="0" xfId="0" applyNumberFormat="1" applyFont="1" applyFill="1"/>
    <xf numFmtId="1" fontId="11" fillId="3" borderId="0" xfId="0" applyNumberFormat="1" applyFont="1" applyFill="1" applyAlignment="1">
      <alignment horizontal="right"/>
    </xf>
    <xf numFmtId="4" fontId="11" fillId="3" borderId="14" xfId="0" applyNumberFormat="1" applyFont="1" applyFill="1" applyBorder="1"/>
    <xf numFmtId="1" fontId="11" fillId="3" borderId="15" xfId="0" applyNumberFormat="1" applyFont="1" applyFill="1" applyBorder="1" applyAlignment="1">
      <alignment horizontal="right"/>
    </xf>
    <xf numFmtId="4" fontId="2" fillId="3" borderId="22" xfId="0" applyNumberFormat="1" applyFont="1" applyFill="1" applyBorder="1" applyAlignment="1">
      <alignment vertical="center" wrapText="1"/>
    </xf>
    <xf numFmtId="4" fontId="11" fillId="11" borderId="0" xfId="0" applyNumberFormat="1" applyFont="1" applyFill="1"/>
    <xf numFmtId="2" fontId="11" fillId="0" borderId="0" xfId="0" applyNumberFormat="1" applyFont="1"/>
    <xf numFmtId="4" fontId="11" fillId="0" borderId="0" xfId="0" applyNumberFormat="1" applyFont="1"/>
    <xf numFmtId="10" fontId="11" fillId="0" borderId="0" xfId="0" applyNumberFormat="1" applyFont="1"/>
    <xf numFmtId="4" fontId="11" fillId="0" borderId="14" xfId="0" applyNumberFormat="1" applyFont="1" applyBorder="1"/>
    <xf numFmtId="1" fontId="11" fillId="0" borderId="15" xfId="0" applyNumberFormat="1" applyFont="1" applyBorder="1" applyAlignment="1">
      <alignment horizontal="right"/>
    </xf>
    <xf numFmtId="4" fontId="8" fillId="3" borderId="0" xfId="0" applyNumberFormat="1" applyFont="1" applyFill="1" applyAlignment="1">
      <alignment vertical="center" wrapText="1"/>
    </xf>
    <xf numFmtId="4" fontId="12" fillId="7" borderId="3" xfId="0" applyNumberFormat="1" applyFont="1" applyFill="1" applyBorder="1" applyAlignment="1">
      <alignment vertical="center" wrapText="1"/>
    </xf>
    <xf numFmtId="4" fontId="8" fillId="9" borderId="0" xfId="0" applyNumberFormat="1" applyFont="1" applyFill="1" applyAlignment="1">
      <alignment vertical="center" wrapText="1"/>
    </xf>
    <xf numFmtId="4" fontId="11" fillId="9" borderId="0" xfId="0" applyNumberFormat="1" applyFont="1" applyFill="1" applyAlignment="1">
      <alignment wrapText="1"/>
    </xf>
    <xf numFmtId="4" fontId="8" fillId="9" borderId="0" xfId="0" applyNumberFormat="1" applyFont="1" applyFill="1" applyAlignment="1">
      <alignment wrapText="1"/>
    </xf>
    <xf numFmtId="0" fontId="11" fillId="0" borderId="20" xfId="0" applyFont="1" applyBorder="1"/>
    <xf numFmtId="4" fontId="11" fillId="0" borderId="20" xfId="0" applyNumberFormat="1" applyFont="1" applyBorder="1"/>
    <xf numFmtId="0" fontId="16" fillId="0" borderId="24" xfId="0" applyFont="1" applyBorder="1"/>
    <xf numFmtId="0" fontId="11" fillId="0" borderId="0" xfId="0" applyFont="1"/>
    <xf numFmtId="0" fontId="16" fillId="0" borderId="3" xfId="0" applyFont="1" applyBorder="1"/>
    <xf numFmtId="0" fontId="11" fillId="8" borderId="25" xfId="0" applyFont="1" applyFill="1" applyBorder="1"/>
    <xf numFmtId="4" fontId="16" fillId="7" borderId="3" xfId="0" applyNumberFormat="1" applyFont="1" applyFill="1" applyBorder="1"/>
    <xf numFmtId="4" fontId="11" fillId="7" borderId="15" xfId="0" applyNumberFormat="1" applyFont="1" applyFill="1" applyBorder="1"/>
    <xf numFmtId="4" fontId="11" fillId="9" borderId="15" xfId="0" applyNumberFormat="1" applyFont="1" applyFill="1" applyBorder="1"/>
    <xf numFmtId="0" fontId="11" fillId="8" borderId="26" xfId="0" applyFont="1" applyFill="1" applyBorder="1"/>
    <xf numFmtId="1" fontId="11" fillId="7" borderId="0" xfId="0" applyNumberFormat="1" applyFont="1" applyFill="1" applyAlignment="1">
      <alignment horizontal="right"/>
    </xf>
    <xf numFmtId="1" fontId="11" fillId="4" borderId="15" xfId="0" applyNumberFormat="1" applyFont="1" applyFill="1" applyBorder="1" applyAlignment="1">
      <alignment horizontal="right"/>
    </xf>
    <xf numFmtId="0" fontId="11" fillId="11" borderId="0" xfId="0" applyFont="1" applyFill="1"/>
    <xf numFmtId="0" fontId="11" fillId="4" borderId="14" xfId="0" applyFont="1" applyFill="1" applyBorder="1"/>
    <xf numFmtId="0" fontId="11" fillId="5" borderId="1" xfId="0" applyFont="1" applyFill="1" applyBorder="1"/>
    <xf numFmtId="0" fontId="2" fillId="11" borderId="28" xfId="0" applyFont="1" applyFill="1" applyBorder="1" applyAlignment="1">
      <alignment horizontal="center"/>
    </xf>
    <xf numFmtId="0" fontId="2" fillId="5" borderId="29" xfId="0" applyFont="1" applyFill="1" applyBorder="1" applyAlignment="1">
      <alignment horizontal="center" wrapText="1"/>
    </xf>
    <xf numFmtId="4" fontId="2" fillId="6" borderId="30" xfId="0" applyNumberFormat="1" applyFont="1" applyFill="1" applyBorder="1" applyAlignment="1">
      <alignment horizontal="center" wrapText="1"/>
    </xf>
    <xf numFmtId="0" fontId="2" fillId="7" borderId="28" xfId="0" applyFont="1" applyFill="1" applyBorder="1" applyAlignment="1">
      <alignment horizontal="center"/>
    </xf>
    <xf numFmtId="0" fontId="2" fillId="7" borderId="30" xfId="0" applyFont="1" applyFill="1" applyBorder="1" applyAlignment="1">
      <alignment horizontal="center"/>
    </xf>
    <xf numFmtId="0" fontId="2" fillId="0" borderId="28" xfId="0" applyFont="1" applyBorder="1" applyAlignment="1">
      <alignment horizontal="center"/>
    </xf>
    <xf numFmtId="10" fontId="2" fillId="0" borderId="28" xfId="0" applyNumberFormat="1" applyFont="1" applyBorder="1" applyAlignment="1">
      <alignment horizontal="center"/>
    </xf>
    <xf numFmtId="0" fontId="2" fillId="4" borderId="32" xfId="0" applyFont="1" applyFill="1" applyBorder="1" applyAlignment="1">
      <alignment horizontal="center" wrapText="1"/>
    </xf>
    <xf numFmtId="0" fontId="11" fillId="7" borderId="0" xfId="0" applyFont="1" applyFill="1"/>
    <xf numFmtId="4" fontId="11" fillId="7" borderId="2" xfId="0" applyNumberFormat="1" applyFont="1" applyFill="1" applyBorder="1" applyAlignment="1"/>
    <xf numFmtId="0" fontId="11" fillId="7" borderId="35" xfId="0" applyFont="1" applyFill="1" applyBorder="1" applyAlignment="1">
      <alignment horizontal="right"/>
    </xf>
    <xf numFmtId="0" fontId="11" fillId="7" borderId="0" xfId="0" applyFont="1" applyFill="1" applyAlignment="1">
      <alignment horizontal="right"/>
    </xf>
    <xf numFmtId="0" fontId="11" fillId="7" borderId="2" xfId="0" applyFont="1" applyFill="1" applyBorder="1" applyAlignment="1">
      <alignment horizontal="right"/>
    </xf>
    <xf numFmtId="0" fontId="11" fillId="7" borderId="14" xfId="0" applyFont="1" applyFill="1" applyBorder="1"/>
    <xf numFmtId="1" fontId="11" fillId="7" borderId="36" xfId="0" applyNumberFormat="1" applyFont="1" applyFill="1" applyBorder="1" applyAlignment="1">
      <alignment horizontal="right"/>
    </xf>
    <xf numFmtId="0" fontId="11" fillId="4" borderId="0" xfId="0" applyFont="1" applyFill="1"/>
    <xf numFmtId="4" fontId="11" fillId="4" borderId="2" xfId="0" applyNumberFormat="1" applyFont="1" applyFill="1" applyBorder="1"/>
    <xf numFmtId="0" fontId="11" fillId="4" borderId="35" xfId="0" applyFont="1" applyFill="1" applyBorder="1" applyAlignment="1">
      <alignment horizontal="right"/>
    </xf>
    <xf numFmtId="0" fontId="11" fillId="4" borderId="0" xfId="0" applyFont="1" applyFill="1" applyAlignment="1">
      <alignment horizontal="right"/>
    </xf>
    <xf numFmtId="0" fontId="11" fillId="4" borderId="2" xfId="0" applyFont="1" applyFill="1" applyBorder="1" applyAlignment="1">
      <alignment horizontal="right"/>
    </xf>
    <xf numFmtId="10" fontId="11" fillId="4" borderId="0" xfId="0" applyNumberFormat="1" applyFont="1" applyFill="1"/>
    <xf numFmtId="1" fontId="11" fillId="4" borderId="36" xfId="0" applyNumberFormat="1" applyFont="1" applyFill="1" applyBorder="1" applyAlignment="1">
      <alignment horizontal="right"/>
    </xf>
    <xf numFmtId="4" fontId="11" fillId="7" borderId="2" xfId="0" applyNumberFormat="1" applyFont="1" applyFill="1" applyBorder="1"/>
    <xf numFmtId="0" fontId="8" fillId="6" borderId="0" xfId="0" applyFont="1" applyFill="1" applyAlignment="1">
      <alignment vertical="center" wrapText="1"/>
    </xf>
    <xf numFmtId="0" fontId="8" fillId="6" borderId="0" xfId="0" applyFont="1" applyFill="1"/>
    <xf numFmtId="0" fontId="8" fillId="6" borderId="0" xfId="0" applyFont="1" applyFill="1" applyAlignment="1"/>
    <xf numFmtId="1" fontId="11" fillId="6" borderId="0" xfId="0" applyNumberFormat="1" applyFont="1" applyFill="1" applyAlignment="1">
      <alignment horizontal="right"/>
    </xf>
    <xf numFmtId="0" fontId="11" fillId="0" borderId="0" xfId="0" applyFont="1" applyAlignment="1">
      <alignment vertical="center" wrapText="1"/>
    </xf>
    <xf numFmtId="0" fontId="11" fillId="0" borderId="0" xfId="0" applyFont="1" applyAlignment="1">
      <alignment vertical="center"/>
    </xf>
    <xf numFmtId="0" fontId="11" fillId="0" borderId="0" xfId="0" applyFont="1" applyAlignment="1"/>
    <xf numFmtId="1" fontId="11" fillId="0" borderId="0" xfId="0" applyNumberFormat="1" applyFont="1" applyAlignment="1">
      <alignment horizontal="right"/>
    </xf>
    <xf numFmtId="2" fontId="11" fillId="5" borderId="13" xfId="0" applyNumberFormat="1" applyFont="1" applyFill="1" applyBorder="1" applyAlignment="1">
      <alignment horizontal="right" wrapText="1"/>
    </xf>
    <xf numFmtId="4" fontId="8" fillId="6" borderId="2" xfId="0" applyNumberFormat="1" applyFont="1" applyFill="1" applyBorder="1" applyAlignment="1">
      <alignment wrapText="1"/>
    </xf>
    <xf numFmtId="4" fontId="11" fillId="7" borderId="3" xfId="0" applyNumberFormat="1" applyFont="1" applyFill="1" applyBorder="1" applyAlignment="1">
      <alignment horizontal="right" wrapText="1"/>
    </xf>
    <xf numFmtId="9" fontId="12" fillId="7" borderId="3" xfId="0" applyNumberFormat="1" applyFont="1" applyFill="1" applyBorder="1" applyAlignment="1">
      <alignment wrapText="1"/>
    </xf>
    <xf numFmtId="2" fontId="11" fillId="7" borderId="0" xfId="0" applyNumberFormat="1" applyFont="1" applyFill="1" applyAlignment="1">
      <alignment horizontal="right" wrapText="1"/>
    </xf>
    <xf numFmtId="10" fontId="11" fillId="7" borderId="0" xfId="0" applyNumberFormat="1" applyFont="1" applyFill="1" applyAlignment="1">
      <alignment wrapText="1"/>
    </xf>
    <xf numFmtId="4" fontId="11" fillId="7" borderId="14" xfId="0" applyNumberFormat="1" applyFont="1" applyFill="1" applyBorder="1" applyAlignment="1">
      <alignment wrapText="1"/>
    </xf>
    <xf numFmtId="1" fontId="11" fillId="7" borderId="15" xfId="0" applyNumberFormat="1" applyFont="1" applyFill="1" applyBorder="1" applyAlignment="1">
      <alignment horizontal="right" wrapText="1"/>
    </xf>
    <xf numFmtId="0" fontId="3" fillId="0" borderId="0" xfId="0" applyFont="1" applyAlignment="1">
      <alignment wrapText="1"/>
    </xf>
    <xf numFmtId="2" fontId="11" fillId="9" borderId="0" xfId="0" applyNumberFormat="1" applyFont="1" applyFill="1" applyAlignment="1">
      <alignment horizontal="right" wrapText="1"/>
    </xf>
    <xf numFmtId="10" fontId="11" fillId="9" borderId="0" xfId="0" applyNumberFormat="1" applyFont="1" applyFill="1" applyAlignment="1">
      <alignment wrapText="1"/>
    </xf>
    <xf numFmtId="4" fontId="11" fillId="9" borderId="14" xfId="0" applyNumberFormat="1" applyFont="1" applyFill="1" applyBorder="1" applyAlignment="1">
      <alignment wrapText="1"/>
    </xf>
    <xf numFmtId="1" fontId="11" fillId="9" borderId="15" xfId="0" applyNumberFormat="1" applyFont="1" applyFill="1" applyBorder="1" applyAlignment="1">
      <alignment horizontal="right" wrapText="1"/>
    </xf>
    <xf numFmtId="2" fontId="11" fillId="5" borderId="1" xfId="0" applyNumberFormat="1" applyFont="1" applyFill="1" applyBorder="1" applyAlignment="1">
      <alignment horizontal="right" wrapText="1"/>
    </xf>
    <xf numFmtId="0" fontId="18" fillId="0" borderId="0" xfId="0" applyFont="1" applyAlignment="1"/>
    <xf numFmtId="0" fontId="20" fillId="0" borderId="0" xfId="0" applyFont="1" applyAlignment="1"/>
    <xf numFmtId="4" fontId="11" fillId="5" borderId="1" xfId="0" applyNumberFormat="1" applyFont="1" applyFill="1" applyBorder="1"/>
    <xf numFmtId="0" fontId="22" fillId="0" borderId="0" xfId="0" applyFont="1" applyAlignment="1"/>
    <xf numFmtId="0" fontId="3" fillId="0" borderId="0" xfId="0" applyFont="1" applyFill="1" applyAlignment="1"/>
    <xf numFmtId="9" fontId="4" fillId="3" borderId="0" xfId="0" applyNumberFormat="1" applyFont="1" applyFill="1" applyBorder="1" applyAlignment="1">
      <alignment horizontal="center" wrapText="1"/>
    </xf>
    <xf numFmtId="0" fontId="2" fillId="8" borderId="16" xfId="0" applyFont="1" applyFill="1" applyBorder="1" applyAlignment="1">
      <alignment vertical="center" wrapText="1"/>
    </xf>
    <xf numFmtId="0" fontId="6" fillId="8" borderId="16" xfId="0" applyFont="1" applyFill="1" applyBorder="1" applyAlignment="1">
      <alignment vertical="center" wrapText="1"/>
    </xf>
    <xf numFmtId="0" fontId="7" fillId="8" borderId="16" xfId="0" applyFont="1" applyFill="1" applyBorder="1" applyAlignment="1">
      <alignment vertical="center" wrapText="1"/>
    </xf>
    <xf numFmtId="1" fontId="2" fillId="4" borderId="33" xfId="0" applyNumberFormat="1" applyFont="1" applyFill="1" applyBorder="1" applyAlignment="1">
      <alignment horizontal="center" wrapText="1"/>
    </xf>
    <xf numFmtId="1" fontId="2" fillId="4" borderId="5" xfId="0" applyNumberFormat="1" applyFont="1" applyFill="1" applyBorder="1" applyAlignment="1">
      <alignment horizontal="center" wrapText="1"/>
    </xf>
    <xf numFmtId="0" fontId="2" fillId="4" borderId="0" xfId="0" applyFont="1" applyFill="1" applyBorder="1" applyAlignment="1">
      <alignment horizontal="right" wrapText="1"/>
    </xf>
    <xf numFmtId="0" fontId="11" fillId="5" borderId="0" xfId="0" applyFont="1" applyFill="1" applyBorder="1"/>
    <xf numFmtId="4" fontId="8" fillId="6" borderId="0" xfId="0" applyNumberFormat="1" applyFont="1" applyFill="1" applyBorder="1"/>
    <xf numFmtId="0" fontId="11" fillId="7" borderId="0" xfId="0" applyFont="1" applyFill="1" applyBorder="1" applyAlignment="1">
      <alignment horizontal="right"/>
    </xf>
    <xf numFmtId="9" fontId="12" fillId="7" borderId="0" xfId="0" applyNumberFormat="1" applyFont="1" applyFill="1" applyBorder="1"/>
    <xf numFmtId="0" fontId="11" fillId="4" borderId="0" xfId="0" applyFont="1" applyFill="1" applyBorder="1"/>
    <xf numFmtId="1" fontId="11" fillId="4" borderId="0" xfId="0" applyNumberFormat="1" applyFont="1" applyFill="1" applyBorder="1" applyAlignment="1">
      <alignment horizontal="right"/>
    </xf>
    <xf numFmtId="0" fontId="3" fillId="0" borderId="0" xfId="0" applyFont="1" applyAlignment="1"/>
    <xf numFmtId="0" fontId="6" fillId="8" borderId="16" xfId="0" applyFont="1" applyFill="1" applyBorder="1" applyAlignment="1">
      <alignment vertical="center" wrapText="1"/>
    </xf>
    <xf numFmtId="0" fontId="2" fillId="8" borderId="16" xfId="0" applyFont="1" applyFill="1" applyBorder="1" applyAlignment="1">
      <alignment vertical="center" wrapText="1"/>
    </xf>
    <xf numFmtId="0" fontId="7" fillId="0" borderId="16" xfId="0" applyFont="1" applyBorder="1"/>
    <xf numFmtId="0" fontId="11" fillId="4" borderId="34" xfId="0" applyFont="1" applyFill="1" applyBorder="1" applyAlignment="1">
      <alignment vertical="center" wrapText="1"/>
    </xf>
    <xf numFmtId="9" fontId="12" fillId="7" borderId="35" xfId="0" applyNumberFormat="1" applyFont="1" applyFill="1" applyBorder="1"/>
    <xf numFmtId="0" fontId="23" fillId="0" borderId="0" xfId="0" applyFont="1" applyAlignment="1"/>
    <xf numFmtId="0" fontId="11" fillId="14" borderId="38" xfId="0" applyFont="1" applyFill="1" applyBorder="1"/>
    <xf numFmtId="4" fontId="11" fillId="14" borderId="40" xfId="0" applyNumberFormat="1" applyFont="1" applyFill="1" applyBorder="1"/>
    <xf numFmtId="0" fontId="11" fillId="14" borderId="41" xfId="0" applyFont="1" applyFill="1" applyBorder="1" applyAlignment="1">
      <alignment horizontal="right"/>
    </xf>
    <xf numFmtId="0" fontId="11" fillId="14" borderId="38" xfId="0" applyFont="1" applyFill="1" applyBorder="1" applyAlignment="1">
      <alignment horizontal="right"/>
    </xf>
    <xf numFmtId="0" fontId="11" fillId="14" borderId="40" xfId="0" applyFont="1" applyFill="1" applyBorder="1" applyAlignment="1">
      <alignment horizontal="right"/>
    </xf>
    <xf numFmtId="10" fontId="11" fillId="14" borderId="38" xfId="0" applyNumberFormat="1" applyFont="1" applyFill="1" applyBorder="1"/>
    <xf numFmtId="0" fontId="11" fillId="14" borderId="42" xfId="0" applyFont="1" applyFill="1" applyBorder="1"/>
    <xf numFmtId="1" fontId="11" fillId="14" borderId="43" xfId="0" applyNumberFormat="1" applyFont="1" applyFill="1" applyBorder="1" applyAlignment="1">
      <alignment horizontal="right"/>
    </xf>
    <xf numFmtId="0" fontId="24" fillId="14" borderId="38" xfId="0" applyFont="1" applyFill="1" applyBorder="1"/>
    <xf numFmtId="4" fontId="24" fillId="15" borderId="39" xfId="0" applyNumberFormat="1" applyFont="1" applyFill="1" applyBorder="1"/>
    <xf numFmtId="0" fontId="2" fillId="7" borderId="0" xfId="0" applyFont="1" applyFill="1" applyBorder="1" applyAlignment="1">
      <alignment horizontal="right" wrapText="1"/>
    </xf>
    <xf numFmtId="0" fontId="2" fillId="7" borderId="0" xfId="0" applyFont="1" applyFill="1" applyBorder="1" applyAlignment="1">
      <alignment horizontal="center" wrapText="1"/>
    </xf>
    <xf numFmtId="4" fontId="2" fillId="7" borderId="0" xfId="0" applyNumberFormat="1" applyFont="1" applyFill="1" applyBorder="1" applyAlignment="1">
      <alignment horizontal="center" wrapText="1"/>
    </xf>
    <xf numFmtId="0" fontId="6" fillId="7" borderId="0" xfId="0" applyFont="1" applyFill="1" applyBorder="1" applyAlignment="1">
      <alignment horizontal="center" wrapText="1"/>
    </xf>
    <xf numFmtId="0" fontId="2" fillId="4" borderId="0" xfId="0" applyFont="1" applyFill="1" applyBorder="1" applyAlignment="1">
      <alignment horizontal="center" wrapText="1"/>
    </xf>
    <xf numFmtId="0" fontId="8" fillId="4" borderId="0" xfId="0" applyFont="1" applyFill="1" applyBorder="1" applyAlignment="1">
      <alignment horizontal="center"/>
    </xf>
    <xf numFmtId="4" fontId="2" fillId="4" borderId="0" xfId="0" applyNumberFormat="1" applyFont="1" applyFill="1" applyBorder="1" applyAlignment="1">
      <alignment horizontal="center" wrapText="1"/>
    </xf>
    <xf numFmtId="0" fontId="6" fillId="4" borderId="0" xfId="0" applyFont="1" applyFill="1" applyBorder="1" applyAlignment="1">
      <alignment horizontal="center" wrapText="1"/>
    </xf>
    <xf numFmtId="0" fontId="8" fillId="7" borderId="0" xfId="0" applyFont="1" applyFill="1" applyBorder="1" applyAlignment="1">
      <alignment horizontal="center"/>
    </xf>
    <xf numFmtId="0" fontId="8" fillId="7" borderId="0" xfId="0" applyFont="1" applyFill="1" applyBorder="1" applyAlignment="1">
      <alignment horizontal="left"/>
    </xf>
    <xf numFmtId="0" fontId="2" fillId="7" borderId="46" xfId="0" applyFont="1" applyFill="1" applyBorder="1" applyAlignment="1">
      <alignment horizontal="right" wrapText="1"/>
    </xf>
    <xf numFmtId="0" fontId="2" fillId="7" borderId="46" xfId="0" applyFont="1" applyFill="1" applyBorder="1" applyAlignment="1">
      <alignment horizontal="center" wrapText="1"/>
    </xf>
    <xf numFmtId="0" fontId="2" fillId="7" borderId="46" xfId="0" applyFont="1" applyFill="1" applyBorder="1" applyAlignment="1">
      <alignment horizontal="center"/>
    </xf>
    <xf numFmtId="4" fontId="2" fillId="7" borderId="46" xfId="0" applyNumberFormat="1" applyFont="1" applyFill="1" applyBorder="1" applyAlignment="1">
      <alignment horizontal="center" wrapText="1"/>
    </xf>
    <xf numFmtId="0" fontId="6" fillId="7" borderId="46" xfId="0" applyFont="1" applyFill="1" applyBorder="1" applyAlignment="1">
      <alignment horizontal="center" wrapText="1"/>
    </xf>
    <xf numFmtId="0" fontId="2" fillId="7" borderId="47" xfId="0" applyFont="1" applyFill="1" applyBorder="1" applyAlignment="1">
      <alignment horizontal="right" wrapText="1"/>
    </xf>
    <xf numFmtId="0" fontId="2" fillId="4" borderId="49" xfId="0" applyFont="1" applyFill="1" applyBorder="1" applyAlignment="1">
      <alignment horizontal="right" wrapText="1"/>
    </xf>
    <xf numFmtId="0" fontId="2" fillId="7" borderId="49" xfId="0" applyFont="1" applyFill="1" applyBorder="1" applyAlignment="1">
      <alignment horizontal="right" wrapText="1"/>
    </xf>
    <xf numFmtId="0" fontId="2" fillId="4" borderId="51" xfId="0" applyFont="1" applyFill="1" applyBorder="1" applyAlignment="1">
      <alignment horizontal="right" wrapText="1"/>
    </xf>
    <xf numFmtId="0" fontId="2" fillId="4" borderId="51" xfId="0" applyFont="1" applyFill="1" applyBorder="1" applyAlignment="1">
      <alignment horizontal="center" wrapText="1"/>
    </xf>
    <xf numFmtId="0" fontId="8" fillId="4" borderId="51" xfId="0" applyFont="1" applyFill="1" applyBorder="1" applyAlignment="1">
      <alignment horizontal="center"/>
    </xf>
    <xf numFmtId="4" fontId="2" fillId="4" borderId="51" xfId="0" applyNumberFormat="1" applyFont="1" applyFill="1" applyBorder="1" applyAlignment="1">
      <alignment horizontal="center" wrapText="1"/>
    </xf>
    <xf numFmtId="0" fontId="6" fillId="4" borderId="51" xfId="0" applyFont="1" applyFill="1" applyBorder="1" applyAlignment="1">
      <alignment horizontal="center" wrapText="1"/>
    </xf>
    <xf numFmtId="0" fontId="2" fillId="4" borderId="52" xfId="0" applyFont="1" applyFill="1" applyBorder="1" applyAlignment="1">
      <alignment horizontal="right" wrapText="1"/>
    </xf>
    <xf numFmtId="0" fontId="13" fillId="8" borderId="16" xfId="0" applyFont="1" applyFill="1" applyBorder="1" applyAlignment="1">
      <alignment vertical="center" wrapText="1"/>
    </xf>
    <xf numFmtId="4" fontId="11" fillId="7" borderId="0" xfId="0" applyNumberFormat="1" applyFont="1" applyFill="1" applyBorder="1"/>
    <xf numFmtId="2" fontId="11" fillId="7" borderId="0" xfId="0" applyNumberFormat="1" applyFont="1" applyFill="1" applyBorder="1" applyAlignment="1">
      <alignment horizontal="right"/>
    </xf>
    <xf numFmtId="2" fontId="11" fillId="7" borderId="0" xfId="0" applyNumberFormat="1" applyFont="1" applyFill="1" applyBorder="1"/>
    <xf numFmtId="10" fontId="11" fillId="7" borderId="0" xfId="0" applyNumberFormat="1" applyFont="1" applyFill="1" applyBorder="1"/>
    <xf numFmtId="4" fontId="11" fillId="9" borderId="0" xfId="0" applyNumberFormat="1" applyFont="1" applyFill="1" applyBorder="1"/>
    <xf numFmtId="2" fontId="11" fillId="9" borderId="0" xfId="0" applyNumberFormat="1" applyFont="1" applyFill="1" applyBorder="1" applyAlignment="1">
      <alignment horizontal="right"/>
    </xf>
    <xf numFmtId="2" fontId="11" fillId="9" borderId="0" xfId="0" applyNumberFormat="1" applyFont="1" applyFill="1" applyBorder="1"/>
    <xf numFmtId="10" fontId="11" fillId="9" borderId="0" xfId="0" applyNumberFormat="1" applyFont="1" applyFill="1" applyBorder="1"/>
    <xf numFmtId="4" fontId="11" fillId="7" borderId="0" xfId="0" applyNumberFormat="1" applyFont="1" applyFill="1" applyBorder="1" applyAlignment="1"/>
    <xf numFmtId="2" fontId="11" fillId="7" borderId="0" xfId="0" applyNumberFormat="1" applyFont="1" applyFill="1" applyBorder="1" applyAlignment="1"/>
    <xf numFmtId="4" fontId="11" fillId="7" borderId="14" xfId="0" applyNumberFormat="1" applyFont="1" applyFill="1" applyBorder="1" applyAlignment="1"/>
    <xf numFmtId="4" fontId="11" fillId="9" borderId="0" xfId="0" applyNumberFormat="1" applyFont="1" applyFill="1" applyBorder="1" applyAlignment="1"/>
    <xf numFmtId="2" fontId="11" fillId="9" borderId="0" xfId="0" applyNumberFormat="1" applyFont="1" applyFill="1" applyBorder="1" applyAlignment="1"/>
    <xf numFmtId="4" fontId="11" fillId="9" borderId="14" xfId="0" applyNumberFormat="1" applyFont="1" applyFill="1" applyBorder="1" applyAlignment="1"/>
    <xf numFmtId="1" fontId="11" fillId="7" borderId="0" xfId="0" applyNumberFormat="1" applyFont="1" applyFill="1" applyBorder="1" applyAlignment="1">
      <alignment horizontal="right"/>
    </xf>
    <xf numFmtId="0" fontId="26" fillId="0" borderId="0" xfId="0" applyFont="1" applyAlignment="1"/>
    <xf numFmtId="0" fontId="0" fillId="13" borderId="0" xfId="0" applyFont="1" applyFill="1" applyAlignment="1">
      <alignment horizontal="center"/>
    </xf>
    <xf numFmtId="0" fontId="0" fillId="13" borderId="15" xfId="0" applyFont="1" applyFill="1" applyBorder="1" applyAlignment="1">
      <alignment horizontal="center"/>
    </xf>
    <xf numFmtId="0" fontId="3" fillId="0" borderId="0" xfId="0" applyFont="1" applyBorder="1" applyAlignment="1">
      <alignment horizontal="center" wrapText="1"/>
    </xf>
    <xf numFmtId="0" fontId="3" fillId="0" borderId="44" xfId="0" applyFont="1" applyBorder="1" applyAlignment="1">
      <alignment horizontal="left" wrapText="1"/>
    </xf>
    <xf numFmtId="4" fontId="11" fillId="9" borderId="0" xfId="0" applyNumberFormat="1" applyFont="1" applyFill="1" applyAlignment="1">
      <alignment vertical="center" wrapText="1"/>
    </xf>
    <xf numFmtId="0" fontId="3" fillId="0" borderId="0" xfId="0" applyFont="1" applyAlignment="1"/>
    <xf numFmtId="4" fontId="11" fillId="7" borderId="0" xfId="0" applyNumberFormat="1" applyFont="1" applyFill="1" applyAlignment="1">
      <alignment vertical="center" wrapText="1"/>
    </xf>
    <xf numFmtId="0" fontId="6" fillId="8" borderId="23" xfId="0" applyFont="1" applyFill="1" applyBorder="1" applyAlignment="1">
      <alignment vertical="center" wrapText="1"/>
    </xf>
    <xf numFmtId="0" fontId="6" fillId="8" borderId="16" xfId="0" applyFont="1" applyFill="1" applyBorder="1" applyAlignment="1">
      <alignment vertical="center" wrapText="1"/>
    </xf>
    <xf numFmtId="0" fontId="7" fillId="0" borderId="16" xfId="0" applyFont="1" applyBorder="1"/>
    <xf numFmtId="4" fontId="11" fillId="7" borderId="0" xfId="0" applyNumberFormat="1" applyFont="1" applyFill="1" applyBorder="1" applyAlignment="1">
      <alignment vertical="center" wrapText="1"/>
    </xf>
    <xf numFmtId="0" fontId="7" fillId="7" borderId="0" xfId="0" applyFont="1" applyFill="1" applyBorder="1"/>
    <xf numFmtId="4" fontId="11" fillId="9" borderId="0" xfId="0" applyNumberFormat="1" applyFont="1" applyFill="1" applyBorder="1" applyAlignment="1">
      <alignment vertical="center" wrapText="1"/>
    </xf>
    <xf numFmtId="0" fontId="7" fillId="9" borderId="0" xfId="0" applyFont="1" applyFill="1" applyBorder="1"/>
    <xf numFmtId="0" fontId="7" fillId="7" borderId="16" xfId="0" applyFont="1" applyFill="1" applyBorder="1"/>
    <xf numFmtId="0" fontId="2" fillId="8" borderId="16" xfId="0" applyFont="1" applyFill="1" applyBorder="1" applyAlignment="1">
      <alignment vertical="center" wrapText="1"/>
    </xf>
    <xf numFmtId="4" fontId="11" fillId="7" borderId="0" xfId="0" applyNumberFormat="1" applyFont="1" applyFill="1" applyAlignment="1">
      <alignment horizontal="left" wrapText="1"/>
    </xf>
    <xf numFmtId="0" fontId="3" fillId="0" borderId="0" xfId="0" applyFont="1" applyAlignment="1">
      <alignment horizontal="left" wrapText="1"/>
    </xf>
    <xf numFmtId="4" fontId="8" fillId="7" borderId="0" xfId="0" applyNumberFormat="1" applyFont="1" applyFill="1" applyAlignment="1">
      <alignment vertical="center" wrapText="1"/>
    </xf>
    <xf numFmtId="4" fontId="11" fillId="7" borderId="0" xfId="0" applyNumberFormat="1" applyFont="1" applyFill="1" applyAlignment="1">
      <alignment wrapText="1"/>
    </xf>
    <xf numFmtId="4" fontId="8" fillId="9" borderId="0" xfId="0" applyNumberFormat="1" applyFont="1" applyFill="1" applyAlignment="1">
      <alignment vertical="center" wrapText="1"/>
    </xf>
    <xf numFmtId="4" fontId="2" fillId="2" borderId="0" xfId="0" applyNumberFormat="1" applyFont="1" applyFill="1" applyAlignment="1">
      <alignment horizontal="center" wrapText="1"/>
    </xf>
    <xf numFmtId="4" fontId="2" fillId="4" borderId="0" xfId="0" applyNumberFormat="1" applyFont="1" applyFill="1" applyAlignment="1">
      <alignment horizontal="center" wrapText="1"/>
    </xf>
    <xf numFmtId="0" fontId="5" fillId="0" borderId="0" xfId="0" applyFont="1" applyAlignment="1"/>
    <xf numFmtId="0" fontId="2" fillId="4" borderId="7" xfId="0" applyFont="1" applyFill="1" applyBorder="1" applyAlignment="1">
      <alignment horizontal="left" wrapText="1"/>
    </xf>
    <xf numFmtId="0" fontId="10" fillId="4" borderId="0" xfId="0" applyFont="1" applyFill="1" applyBorder="1" applyAlignment="1">
      <alignment wrapText="1"/>
    </xf>
    <xf numFmtId="0" fontId="2" fillId="7" borderId="0" xfId="0" applyFont="1" applyFill="1" applyAlignment="1">
      <alignment horizontal="center" vertical="center" wrapText="1"/>
    </xf>
    <xf numFmtId="0" fontId="2" fillId="4" borderId="6"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8" borderId="12" xfId="0" applyFont="1" applyFill="1" applyBorder="1" applyAlignment="1">
      <alignment vertical="center" wrapText="1"/>
    </xf>
    <xf numFmtId="0" fontId="7" fillId="0" borderId="12" xfId="0" applyFont="1" applyBorder="1"/>
    <xf numFmtId="4" fontId="2" fillId="0" borderId="11" xfId="0" applyNumberFormat="1" applyFont="1" applyFill="1" applyBorder="1" applyAlignment="1">
      <alignment horizontal="center" wrapText="1"/>
    </xf>
    <xf numFmtId="4" fontId="9" fillId="7" borderId="0" xfId="0" applyNumberFormat="1" applyFont="1" applyFill="1" applyBorder="1" applyAlignment="1">
      <alignment horizontal="center" wrapText="1"/>
    </xf>
    <xf numFmtId="4" fontId="9" fillId="7" borderId="49" xfId="0" applyNumberFormat="1" applyFont="1" applyFill="1" applyBorder="1" applyAlignment="1">
      <alignment horizontal="center" wrapText="1"/>
    </xf>
    <xf numFmtId="0" fontId="3" fillId="0" borderId="0" xfId="0" applyFont="1" applyAlignment="1">
      <alignment wrapText="1"/>
    </xf>
    <xf numFmtId="4" fontId="11" fillId="9" borderId="0" xfId="0" applyNumberFormat="1" applyFont="1" applyFill="1" applyAlignment="1">
      <alignment horizontal="left" wrapText="1"/>
    </xf>
    <xf numFmtId="0" fontId="11" fillId="0" borderId="20" xfId="0" applyFont="1" applyBorder="1" applyAlignment="1">
      <alignment horizontal="center"/>
    </xf>
    <xf numFmtId="0" fontId="7" fillId="0" borderId="20" xfId="0" applyFont="1" applyBorder="1"/>
    <xf numFmtId="0" fontId="11" fillId="9" borderId="0" xfId="0" applyFont="1" applyFill="1" applyAlignment="1">
      <alignment wrapText="1"/>
    </xf>
    <xf numFmtId="0" fontId="11" fillId="7" borderId="0" xfId="0" applyFont="1" applyFill="1" applyAlignment="1">
      <alignment vertical="center" wrapText="1"/>
    </xf>
    <xf numFmtId="0" fontId="11" fillId="9" borderId="0" xfId="0" applyFont="1" applyFill="1" applyAlignment="1">
      <alignment vertical="center" wrapText="1"/>
    </xf>
    <xf numFmtId="4" fontId="15" fillId="10" borderId="21" xfId="0" applyNumberFormat="1" applyFont="1" applyFill="1" applyBorder="1" applyAlignment="1">
      <alignment wrapText="1"/>
    </xf>
    <xf numFmtId="0" fontId="7" fillId="0" borderId="16" xfId="0" applyFont="1" applyBorder="1" applyAlignment="1">
      <alignment wrapText="1"/>
    </xf>
    <xf numFmtId="4" fontId="2" fillId="3" borderId="0" xfId="0" applyNumberFormat="1" applyFont="1" applyFill="1" applyAlignment="1">
      <alignment vertical="center" wrapText="1"/>
    </xf>
    <xf numFmtId="0" fontId="14" fillId="0" borderId="16" xfId="0" applyFont="1" applyBorder="1"/>
    <xf numFmtId="0" fontId="8" fillId="12" borderId="0" xfId="0" applyFont="1" applyFill="1" applyAlignment="1">
      <alignment vertical="center" wrapText="1"/>
    </xf>
    <xf numFmtId="0" fontId="3" fillId="13" borderId="0" xfId="0" applyFont="1" applyFill="1" applyAlignment="1"/>
    <xf numFmtId="0" fontId="11" fillId="0" borderId="0" xfId="0" applyFont="1" applyAlignment="1">
      <alignment vertical="center" wrapText="1"/>
    </xf>
    <xf numFmtId="4" fontId="11" fillId="9" borderId="0" xfId="0" applyNumberFormat="1" applyFont="1" applyFill="1" applyAlignment="1">
      <alignment wrapText="1"/>
    </xf>
    <xf numFmtId="0" fontId="7" fillId="9" borderId="16" xfId="0" applyFont="1" applyFill="1" applyBorder="1"/>
    <xf numFmtId="0" fontId="11" fillId="7" borderId="0" xfId="0" applyFont="1" applyFill="1" applyAlignment="1">
      <alignment wrapText="1"/>
    </xf>
    <xf numFmtId="0" fontId="11" fillId="0" borderId="12" xfId="0" applyFont="1" applyBorder="1"/>
    <xf numFmtId="0" fontId="2" fillId="8" borderId="25" xfId="0" applyFont="1" applyFill="1" applyBorder="1" applyAlignment="1">
      <alignment vertical="center" wrapText="1"/>
    </xf>
    <xf numFmtId="0" fontId="7" fillId="0" borderId="25" xfId="0" applyFont="1" applyBorder="1"/>
    <xf numFmtId="0" fontId="2" fillId="0" borderId="27" xfId="0" applyFont="1" applyBorder="1" applyAlignment="1">
      <alignment horizontal="center" vertical="center" wrapText="1"/>
    </xf>
    <xf numFmtId="0" fontId="7" fillId="0" borderId="28" xfId="0" applyFont="1" applyBorder="1"/>
    <xf numFmtId="0" fontId="2" fillId="7" borderId="31" xfId="0" applyFont="1" applyFill="1" applyBorder="1" applyAlignment="1">
      <alignment horizontal="center" wrapText="1"/>
    </xf>
    <xf numFmtId="4" fontId="21" fillId="12" borderId="0" xfId="0" applyNumberFormat="1" applyFont="1" applyFill="1" applyBorder="1" applyAlignment="1">
      <alignment horizontal="center" vertical="center" wrapText="1"/>
    </xf>
    <xf numFmtId="0" fontId="3" fillId="0" borderId="44" xfId="0" applyFont="1" applyBorder="1" applyAlignment="1">
      <alignment wrapText="1"/>
    </xf>
    <xf numFmtId="4" fontId="8" fillId="0" borderId="18" xfId="0" applyNumberFormat="1" applyFont="1" applyBorder="1" applyAlignment="1">
      <alignment horizontal="center" vertical="center" wrapText="1"/>
    </xf>
    <xf numFmtId="0" fontId="7" fillId="0" borderId="18" xfId="0" applyFont="1" applyBorder="1"/>
    <xf numFmtId="0" fontId="7" fillId="0" borderId="15" xfId="0" applyFont="1" applyBorder="1"/>
    <xf numFmtId="0" fontId="11" fillId="7" borderId="34" xfId="0" applyFont="1" applyFill="1" applyBorder="1" applyAlignment="1">
      <alignment vertical="center" wrapText="1"/>
    </xf>
    <xf numFmtId="0" fontId="11" fillId="4" borderId="34" xfId="0" applyFont="1" applyFill="1" applyBorder="1" applyAlignment="1">
      <alignment vertical="center" wrapText="1"/>
    </xf>
    <xf numFmtId="0" fontId="17" fillId="0" borderId="0" xfId="0" applyFont="1" applyAlignment="1">
      <alignment vertical="center" wrapText="1"/>
    </xf>
    <xf numFmtId="0" fontId="24" fillId="14" borderId="37" xfId="0" applyFont="1" applyFill="1" applyBorder="1" applyAlignment="1">
      <alignment horizontal="right" vertical="center" wrapText="1"/>
    </xf>
    <xf numFmtId="0" fontId="25" fillId="14" borderId="38" xfId="0" applyFont="1" applyFill="1" applyBorder="1" applyAlignment="1">
      <alignment horizontal="right"/>
    </xf>
    <xf numFmtId="0" fontId="8" fillId="6" borderId="0" xfId="0" applyFont="1" applyFill="1" applyAlignment="1">
      <alignment vertical="center" wrapText="1"/>
    </xf>
    <xf numFmtId="0" fontId="2" fillId="7" borderId="45" xfId="0" applyFont="1" applyFill="1" applyBorder="1" applyAlignment="1">
      <alignment horizontal="center" vertical="center" wrapText="1"/>
    </xf>
    <xf numFmtId="0" fontId="2" fillId="7" borderId="48" xfId="0" applyFont="1" applyFill="1" applyBorder="1" applyAlignment="1">
      <alignment horizontal="center" vertical="center" wrapText="1"/>
    </xf>
    <xf numFmtId="0" fontId="2" fillId="7" borderId="50" xfId="0" applyFont="1" applyFill="1" applyBorder="1" applyAlignment="1">
      <alignment horizontal="center" vertical="center" wrapText="1"/>
    </xf>
    <xf numFmtId="0" fontId="2" fillId="8" borderId="26" xfId="0" applyFont="1" applyFill="1" applyBorder="1" applyAlignment="1">
      <alignment vertical="center" wrapText="1"/>
    </xf>
    <xf numFmtId="0" fontId="7" fillId="0" borderId="26" xfId="0" applyFont="1" applyBorder="1"/>
    <xf numFmtId="0" fontId="7" fillId="7" borderId="15" xfId="0" applyFont="1" applyFill="1" applyBorder="1"/>
    <xf numFmtId="0" fontId="7" fillId="16" borderId="0" xfId="0" applyFont="1" applyFill="1" applyBorder="1"/>
    <xf numFmtId="0" fontId="2" fillId="16" borderId="0" xfId="0" applyFont="1" applyFill="1" applyBorder="1" applyAlignment="1">
      <alignment horizontal="right" wrapText="1"/>
    </xf>
    <xf numFmtId="0" fontId="28" fillId="16" borderId="0" xfId="1" applyFont="1" applyFill="1" applyBorder="1" applyAlignment="1">
      <alignment wrapText="1"/>
    </xf>
    <xf numFmtId="0" fontId="28" fillId="16" borderId="0" xfId="1" applyFont="1" applyFill="1" applyBorder="1"/>
    <xf numFmtId="0" fontId="28" fillId="17" borderId="0" xfId="1" applyFont="1" applyFill="1"/>
    <xf numFmtId="0" fontId="2" fillId="4" borderId="53" xfId="0" applyFont="1" applyFill="1" applyBorder="1" applyAlignment="1">
      <alignment horizontal="center" vertical="center" wrapText="1"/>
    </xf>
  </cellXfs>
  <cellStyles count="53">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Hyperlink" xfId="1" builtinId="8"/>
    <cellStyle name="Normal" xfId="0" builtinId="0"/>
  </cellStyles>
  <dxfs count="15">
    <dxf>
      <font>
        <strike val="0"/>
        <outline val="0"/>
        <shadow val="0"/>
        <vertAlign val="baseline"/>
        <sz val="12"/>
      </font>
    </dxf>
    <dxf>
      <font>
        <strike val="0"/>
        <outline val="0"/>
        <shadow val="0"/>
        <vertAlign val="baseline"/>
        <sz val="12"/>
      </font>
    </dxf>
    <dxf>
      <font>
        <strike val="0"/>
        <outline val="0"/>
        <shadow val="0"/>
        <vertAlign val="baseline"/>
        <sz val="12"/>
      </font>
    </dxf>
    <dxf>
      <font>
        <strike val="0"/>
        <outline val="0"/>
        <shadow val="0"/>
        <vertAlign val="baseline"/>
        <sz val="12"/>
      </font>
    </dxf>
    <dxf>
      <font>
        <strike val="0"/>
        <outline val="0"/>
        <shadow val="0"/>
        <vertAlign val="baseline"/>
        <sz val="12"/>
      </font>
    </dxf>
    <dxf>
      <font>
        <strike val="0"/>
        <outline val="0"/>
        <shadow val="0"/>
        <vertAlign val="baseline"/>
        <sz val="12"/>
        <color theme="1"/>
        <name val="Helvetica Neue"/>
      </font>
      <numFmt numFmtId="2" formatCode="0.00"/>
      <fill>
        <patternFill patternType="solid">
          <fgColor rgb="FFDDF2F0"/>
          <bgColor rgb="FFDDF2F0"/>
        </patternFill>
      </fill>
      <alignment horizontal="right" vertical="bottom" textRotation="0" wrapText="0" indent="0" justifyLastLine="0" shrinkToFit="0" readingOrder="0"/>
    </dxf>
    <dxf>
      <font>
        <strike val="0"/>
        <outline val="0"/>
        <shadow val="0"/>
        <vertAlign val="baseline"/>
        <sz val="12"/>
        <color theme="1"/>
        <name val="Helvetica Neue"/>
      </font>
      <numFmt numFmtId="2" formatCode="0.00"/>
      <fill>
        <patternFill patternType="solid">
          <fgColor rgb="FFDDF2F0"/>
          <bgColor rgb="FFDDF2F0"/>
        </patternFill>
      </fill>
      <alignment horizontal="right" vertical="bottom" textRotation="0" wrapText="0" indent="0" justifyLastLine="0" shrinkToFit="0" readingOrder="0"/>
    </dxf>
    <dxf>
      <font>
        <strike val="0"/>
        <outline val="0"/>
        <shadow val="0"/>
        <vertAlign val="baseline"/>
        <sz val="12"/>
      </font>
    </dxf>
    <dxf>
      <border outline="0">
        <left style="medium">
          <color rgb="FFFFE599"/>
        </left>
      </border>
    </dxf>
    <dxf>
      <font>
        <strike val="0"/>
        <outline val="0"/>
        <shadow val="0"/>
        <vertAlign val="baseline"/>
        <sz val="12"/>
        <color theme="1"/>
        <name val="Helvetica Neue"/>
      </font>
      <fill>
        <patternFill patternType="solid">
          <fgColor rgb="FFDDF2F0"/>
          <bgColor rgb="FFDDF2F0"/>
        </patternFill>
      </fill>
      <alignment horizontal="right" vertical="bottom" textRotation="0" wrapText="0" indent="0" justifyLastLine="0" shrinkToFit="0" readingOrder="0"/>
    </dxf>
    <dxf>
      <font>
        <strike val="0"/>
        <outline val="0"/>
        <shadow val="0"/>
        <vertAlign val="baseline"/>
        <sz val="12"/>
      </font>
    </dxf>
    <dxf>
      <fill>
        <patternFill patternType="solid">
          <fgColor rgb="FFDDF2F0"/>
          <bgColor rgb="FFDDF2F0"/>
        </patternFill>
      </fill>
    </dxf>
    <dxf>
      <fill>
        <patternFill patternType="solid">
          <fgColor rgb="FFFFFFFF"/>
          <bgColor rgb="FFFFFFFF"/>
        </patternFill>
      </fill>
    </dxf>
    <dxf>
      <fill>
        <patternFill patternType="solid">
          <fgColor rgb="FFDDF2F0"/>
          <bgColor rgb="FFDDF2F0"/>
        </patternFill>
      </fill>
    </dxf>
    <dxf>
      <fill>
        <patternFill patternType="solid">
          <fgColor rgb="FFFFFFFF"/>
          <bgColor rgb="FFFFFFFF"/>
        </patternFill>
      </fill>
    </dxf>
  </dxfs>
  <tableStyles count="2" defaultPivotStyle="PivotStyleMedium4">
    <tableStyle name="Order Sheet-style" pivot="0" count="2">
      <tableStyleElement type="firstRowStripe" dxfId="14"/>
      <tableStyleElement type="secondRowStripe" dxfId="13"/>
    </tableStyle>
    <tableStyle name="Order Sheet-style 2" pivot="0" count="2">
      <tableStyleElement type="firstRowStripe" dxfId="12"/>
      <tableStyleElement type="secondRowStripe" dxfId="11"/>
    </tableStyle>
  </tableStyle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736600</xdr:colOff>
          <xdr:row>10</xdr:row>
          <xdr:rowOff>152400</xdr:rowOff>
        </xdr:from>
        <xdr:to>
          <xdr:col>19</xdr:col>
          <xdr:colOff>152400</xdr:colOff>
          <xdr:row>11</xdr:row>
          <xdr:rowOff>152400</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736600</xdr:colOff>
          <xdr:row>11</xdr:row>
          <xdr:rowOff>165100</xdr:rowOff>
        </xdr:from>
        <xdr:to>
          <xdr:col>19</xdr:col>
          <xdr:colOff>152400</xdr:colOff>
          <xdr:row>12</xdr:row>
          <xdr:rowOff>177800</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736600</xdr:colOff>
          <xdr:row>12</xdr:row>
          <xdr:rowOff>177800</xdr:rowOff>
        </xdr:from>
        <xdr:to>
          <xdr:col>19</xdr:col>
          <xdr:colOff>152400</xdr:colOff>
          <xdr:row>13</xdr:row>
          <xdr:rowOff>190500</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736600</xdr:colOff>
          <xdr:row>14</xdr:row>
          <xdr:rowOff>0</xdr:rowOff>
        </xdr:from>
        <xdr:to>
          <xdr:col>19</xdr:col>
          <xdr:colOff>152400</xdr:colOff>
          <xdr:row>14</xdr:row>
          <xdr:rowOff>215900</xdr:rowOff>
        </xdr:to>
        <xdr:sp macro="" textlink="">
          <xdr:nvSpPr>
            <xdr:cNvPr id="1031" name="Check Box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xdr:twoCellAnchor editAs="oneCell">
    <xdr:from>
      <xdr:col>1</xdr:col>
      <xdr:colOff>736600</xdr:colOff>
      <xdr:row>3</xdr:row>
      <xdr:rowOff>4</xdr:rowOff>
    </xdr:from>
    <xdr:to>
      <xdr:col>9</xdr:col>
      <xdr:colOff>355600</xdr:colOff>
      <xdr:row>3</xdr:row>
      <xdr:rowOff>1828804</xdr:rowOff>
    </xdr:to>
    <xdr:pic>
      <xdr:nvPicPr>
        <xdr:cNvPr id="10" name="Picture 9" descr="amendments (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28900" y="1003304"/>
          <a:ext cx="9753600" cy="1828800"/>
        </a:xfrm>
        <a:prstGeom prst="rect">
          <a:avLst/>
        </a:prstGeom>
      </xdr:spPr>
    </xdr:pic>
    <xdr:clientData/>
  </xdr:twoCellAnchor>
  <xdr:twoCellAnchor editAs="oneCell">
    <xdr:from>
      <xdr:col>0</xdr:col>
      <xdr:colOff>0</xdr:colOff>
      <xdr:row>300</xdr:row>
      <xdr:rowOff>0</xdr:rowOff>
    </xdr:from>
    <xdr:to>
      <xdr:col>18</xdr:col>
      <xdr:colOff>787400</xdr:colOff>
      <xdr:row>300</xdr:row>
      <xdr:rowOff>1141171</xdr:rowOff>
    </xdr:to>
    <xdr:pic>
      <xdr:nvPicPr>
        <xdr:cNvPr id="19" name="Picture 18" descr="Greenhouse formatted.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5445600"/>
          <a:ext cx="14630400" cy="1141171"/>
        </a:xfrm>
        <a:prstGeom prst="rect">
          <a:avLst/>
        </a:prstGeom>
      </xdr:spPr>
    </xdr:pic>
    <xdr:clientData/>
  </xdr:twoCellAnchor>
  <xdr:twoCellAnchor editAs="oneCell">
    <xdr:from>
      <xdr:col>0</xdr:col>
      <xdr:colOff>0</xdr:colOff>
      <xdr:row>311</xdr:row>
      <xdr:rowOff>0</xdr:rowOff>
    </xdr:from>
    <xdr:to>
      <xdr:col>18</xdr:col>
      <xdr:colOff>787400</xdr:colOff>
      <xdr:row>312</xdr:row>
      <xdr:rowOff>36271</xdr:rowOff>
    </xdr:to>
    <xdr:pic>
      <xdr:nvPicPr>
        <xdr:cNvPr id="20" name="Picture 19" descr="Greenhouse formatted (1).pn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9776300"/>
          <a:ext cx="14630400" cy="1141171"/>
        </a:xfrm>
        <a:prstGeom prst="rect">
          <a:avLst/>
        </a:prstGeom>
      </xdr:spPr>
    </xdr:pic>
    <xdr:clientData/>
  </xdr:twoCellAnchor>
  <xdr:twoCellAnchor editAs="oneCell">
    <xdr:from>
      <xdr:col>0</xdr:col>
      <xdr:colOff>0</xdr:colOff>
      <xdr:row>254</xdr:row>
      <xdr:rowOff>0</xdr:rowOff>
    </xdr:from>
    <xdr:to>
      <xdr:col>18</xdr:col>
      <xdr:colOff>787400</xdr:colOff>
      <xdr:row>254</xdr:row>
      <xdr:rowOff>1141171</xdr:rowOff>
    </xdr:to>
    <xdr:pic>
      <xdr:nvPicPr>
        <xdr:cNvPr id="22" name="Picture 21" descr="Greenhouse formatted (2).pn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73799700"/>
          <a:ext cx="14630400" cy="1141171"/>
        </a:xfrm>
        <a:prstGeom prst="rect">
          <a:avLst/>
        </a:prstGeom>
      </xdr:spPr>
    </xdr:pic>
    <xdr:clientData/>
  </xdr:twoCellAnchor>
  <xdr:twoCellAnchor editAs="oneCell">
    <xdr:from>
      <xdr:col>0</xdr:col>
      <xdr:colOff>0</xdr:colOff>
      <xdr:row>237</xdr:row>
      <xdr:rowOff>0</xdr:rowOff>
    </xdr:from>
    <xdr:to>
      <xdr:col>18</xdr:col>
      <xdr:colOff>787400</xdr:colOff>
      <xdr:row>237</xdr:row>
      <xdr:rowOff>1141171</xdr:rowOff>
    </xdr:to>
    <xdr:pic>
      <xdr:nvPicPr>
        <xdr:cNvPr id="24" name="Picture 23" descr="Greenhouse formatted (3).pn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6611500"/>
          <a:ext cx="14630400" cy="1141171"/>
        </a:xfrm>
        <a:prstGeom prst="rect">
          <a:avLst/>
        </a:prstGeom>
      </xdr:spPr>
    </xdr:pic>
    <xdr:clientData/>
  </xdr:twoCellAnchor>
  <xdr:twoCellAnchor editAs="oneCell">
    <xdr:from>
      <xdr:col>0</xdr:col>
      <xdr:colOff>0</xdr:colOff>
      <xdr:row>161</xdr:row>
      <xdr:rowOff>0</xdr:rowOff>
    </xdr:from>
    <xdr:to>
      <xdr:col>18</xdr:col>
      <xdr:colOff>787400</xdr:colOff>
      <xdr:row>161</xdr:row>
      <xdr:rowOff>1141171</xdr:rowOff>
    </xdr:to>
    <xdr:pic>
      <xdr:nvPicPr>
        <xdr:cNvPr id="25" name="Picture 24" descr="Greenhouse formatted (4).pn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44234100"/>
          <a:ext cx="14630400" cy="1141171"/>
        </a:xfrm>
        <a:prstGeom prst="rect">
          <a:avLst/>
        </a:prstGeom>
      </xdr:spPr>
    </xdr:pic>
    <xdr:clientData/>
  </xdr:twoCellAnchor>
  <xdr:twoCellAnchor editAs="oneCell">
    <xdr:from>
      <xdr:col>0</xdr:col>
      <xdr:colOff>0</xdr:colOff>
      <xdr:row>102</xdr:row>
      <xdr:rowOff>0</xdr:rowOff>
    </xdr:from>
    <xdr:to>
      <xdr:col>18</xdr:col>
      <xdr:colOff>787400</xdr:colOff>
      <xdr:row>103</xdr:row>
      <xdr:rowOff>36271</xdr:rowOff>
    </xdr:to>
    <xdr:pic>
      <xdr:nvPicPr>
        <xdr:cNvPr id="27" name="Picture 26" descr="Greenhouse formatted (5).png"/>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8752800"/>
          <a:ext cx="14630400" cy="1141171"/>
        </a:xfrm>
        <a:prstGeom prst="rect">
          <a:avLst/>
        </a:prstGeom>
      </xdr:spPr>
    </xdr:pic>
    <xdr:clientData/>
  </xdr:twoCellAnchor>
  <xdr:twoCellAnchor editAs="oneCell">
    <xdr:from>
      <xdr:col>0</xdr:col>
      <xdr:colOff>0</xdr:colOff>
      <xdr:row>71</xdr:row>
      <xdr:rowOff>0</xdr:rowOff>
    </xdr:from>
    <xdr:to>
      <xdr:col>18</xdr:col>
      <xdr:colOff>787400</xdr:colOff>
      <xdr:row>71</xdr:row>
      <xdr:rowOff>1141171</xdr:rowOff>
    </xdr:to>
    <xdr:pic>
      <xdr:nvPicPr>
        <xdr:cNvPr id="28" name="Picture 27" descr="Greenhouse formatted (6).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20942300"/>
          <a:ext cx="14630400" cy="1141171"/>
        </a:xfrm>
        <a:prstGeom prst="rect">
          <a:avLst/>
        </a:prstGeom>
      </xdr:spPr>
    </xdr:pic>
    <xdr:clientData/>
  </xdr:twoCellAnchor>
  <xdr:twoCellAnchor editAs="oneCell">
    <xdr:from>
      <xdr:col>0</xdr:col>
      <xdr:colOff>0</xdr:colOff>
      <xdr:row>21</xdr:row>
      <xdr:rowOff>0</xdr:rowOff>
    </xdr:from>
    <xdr:to>
      <xdr:col>18</xdr:col>
      <xdr:colOff>787400</xdr:colOff>
      <xdr:row>21</xdr:row>
      <xdr:rowOff>1141171</xdr:rowOff>
    </xdr:to>
    <xdr:pic>
      <xdr:nvPicPr>
        <xdr:cNvPr id="29" name="Picture 28" descr="Greenhouse formatted (7).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6184900"/>
          <a:ext cx="14630400" cy="1141171"/>
        </a:xfrm>
        <a:prstGeom prst="rect">
          <a:avLst/>
        </a:prstGeom>
      </xdr:spPr>
    </xdr:pic>
    <xdr:clientData/>
  </xdr:twoCellAnchor>
  <xdr:twoCellAnchor editAs="oneCell">
    <xdr:from>
      <xdr:col>0</xdr:col>
      <xdr:colOff>0</xdr:colOff>
      <xdr:row>307</xdr:row>
      <xdr:rowOff>0</xdr:rowOff>
    </xdr:from>
    <xdr:to>
      <xdr:col>18</xdr:col>
      <xdr:colOff>787400</xdr:colOff>
      <xdr:row>307</xdr:row>
      <xdr:rowOff>1141171</xdr:rowOff>
    </xdr:to>
    <xdr:pic>
      <xdr:nvPicPr>
        <xdr:cNvPr id="30" name="Picture 29" descr="Greenhouse formatted (8).png"/>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91008200"/>
          <a:ext cx="14630400" cy="1141171"/>
        </a:xfrm>
        <a:prstGeom prst="rect">
          <a:avLst/>
        </a:prstGeom>
      </xdr:spPr>
    </xdr:pic>
    <xdr:clientData/>
  </xdr:twoCellAnchor>
</xdr:wsDr>
</file>

<file path=xl/tables/table1.xml><?xml version="1.0" encoding="utf-8"?>
<table xmlns="http://schemas.openxmlformats.org/spreadsheetml/2006/main" id="1" name="Table_1" displayName="Table_1" ref="I302:J302" headerRowCount="0" headerRowDxfId="10" dataDxfId="9" totalsRowDxfId="7" tableBorderDxfId="8">
  <tableColumns count="2">
    <tableColumn id="1" name="Column1" dataDxfId="6"/>
    <tableColumn id="2" name="Column2" dataDxfId="5"/>
  </tableColumns>
  <tableStyleInfo name="Order Sheet-style" showFirstColumn="1" showLastColumn="1" showRowStripes="1" showColumnStripes="0"/>
</table>
</file>

<file path=xl/tables/table2.xml><?xml version="1.0" encoding="utf-8"?>
<table xmlns="http://schemas.openxmlformats.org/spreadsheetml/2006/main" id="2" name="Table_2" displayName="Table_2" ref="I164:J164" headerRowCount="0" headerRowDxfId="4" dataDxfId="3" totalsRowDxfId="2">
  <tableColumns count="2">
    <tableColumn id="1" name="Column1" dataDxfId="1"/>
    <tableColumn id="2" name="Column2" dataDxfId="0"/>
  </tableColumns>
  <tableStyleInfo name="Order Sheet-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Executive">
      <a:majorFont>
        <a:latin typeface="Century Gothic"/>
        <a:ea typeface=""/>
        <a:cs typeface=""/>
        <a:font script="Jpan" typeface="ＭＳ ゴシック"/>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Palatino Linotype"/>
        <a:ea typeface=""/>
        <a:cs typeface=""/>
        <a:font script="Jpan" typeface="HGS明朝E"/>
        <a:font script="Hang" typeface="맑은 고딕"/>
        <a:font script="Hans" typeface="宋体"/>
        <a:font script="Hant" typeface="新細明體"/>
        <a:font script="Arab" typeface="Times New Roman"/>
        <a:font script="Hebr" typeface="Times New Roman"/>
        <a:font script="Thai" typeface="Browalli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 Type="http://schemas.openxmlformats.org/officeDocument/2006/relationships/ctrlProp" Target="../ctrlProps/ctrlProp1.xml"/><Relationship Id="rId12" Type="http://schemas.openxmlformats.org/officeDocument/2006/relationships/ctrlProp" Target="../ctrlProps/ctrlProp2.xml"/><Relationship Id="rId13" Type="http://schemas.openxmlformats.org/officeDocument/2006/relationships/ctrlProp" Target="../ctrlProps/ctrlProp3.xml"/><Relationship Id="rId14" Type="http://schemas.openxmlformats.org/officeDocument/2006/relationships/ctrlProp" Target="../ctrlProps/ctrlProp4.xml"/><Relationship Id="rId15" Type="http://schemas.openxmlformats.org/officeDocument/2006/relationships/table" Target="../tables/table1.xml"/><Relationship Id="rId16" Type="http://schemas.openxmlformats.org/officeDocument/2006/relationships/table" Target="../tables/table2.xml"/><Relationship Id="rId17" Type="http://schemas.openxmlformats.org/officeDocument/2006/relationships/comments" Target="../comments1.xml"/><Relationship Id="rId1" Type="http://schemas.openxmlformats.org/officeDocument/2006/relationships/hyperlink" Target="https://www.farmersfriend.com/products" TargetMode="External"/><Relationship Id="rId2" Type="http://schemas.openxmlformats.org/officeDocument/2006/relationships/hyperlink" Target="https://www.krehereggs.com/compost-fertilizer" TargetMode="External"/><Relationship Id="rId3" Type="http://schemas.openxmlformats.org/officeDocument/2006/relationships/hyperlink" Target="https://lakevieworganicgrain.com/wp-content/uploads/Spring-2021-seed-price-list.pdf" TargetMode="External"/><Relationship Id="rId4" Type="http://schemas.openxmlformats.org/officeDocument/2006/relationships/hyperlink" Target="http://noltsgreenhousesupplies.com/NGScatalog.pdf" TargetMode="External"/><Relationship Id="rId5" Type="http://schemas.openxmlformats.org/officeDocument/2006/relationships/hyperlink" Target="http://www.noltsproducesupplies.net/NPScatalog.pdf" TargetMode="External"/><Relationship Id="rId6" Type="http://schemas.openxmlformats.org/officeDocument/2006/relationships/hyperlink" Target="https://progressivegrower.com/" TargetMode="External"/><Relationship Id="rId7" Type="http://schemas.openxmlformats.org/officeDocument/2006/relationships/hyperlink" Target="https://www.smallfarmworks.com/store" TargetMode="External"/><Relationship Id="rId8" Type="http://schemas.openxmlformats.org/officeDocument/2006/relationships/hyperlink" Target="Microsoft%20User%20Data/Office%202011%20AutoRecovery/A71" TargetMode="External"/><Relationship Id="rId9" Type="http://schemas.openxmlformats.org/officeDocument/2006/relationships/drawing" Target="../drawings/drawing1.xml"/><Relationship Id="rId10"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outlinePr summaryBelow="0" summaryRight="0"/>
  </sheetPr>
  <dimension ref="A1:T348"/>
  <sheetViews>
    <sheetView showGridLines="0" tabSelected="1" workbookViewId="0">
      <pane ySplit="3" topLeftCell="A4" activePane="bottomLeft" state="frozen"/>
      <selection pane="bottomLeft" sqref="A1:S1"/>
    </sheetView>
  </sheetViews>
  <sheetFormatPr baseColWidth="10" defaultColWidth="14.5" defaultRowHeight="15" customHeight="1" x14ac:dyDescent="0"/>
  <cols>
    <col min="1" max="1" width="24.83203125" style="1" customWidth="1"/>
    <col min="2" max="2" width="72" style="1" customWidth="1"/>
    <col min="3" max="3" width="11" style="1" hidden="1" customWidth="1"/>
    <col min="4" max="4" width="10" style="1" hidden="1" customWidth="1"/>
    <col min="5" max="5" width="14.6640625" style="1" customWidth="1"/>
    <col min="6" max="6" width="13.83203125" style="1" customWidth="1"/>
    <col min="7" max="7" width="13" style="1" customWidth="1"/>
    <col min="8" max="8" width="7" style="1" customWidth="1"/>
    <col min="9" max="9" width="12.5" style="1" customWidth="1"/>
    <col min="10" max="10" width="12.33203125" style="1" customWidth="1"/>
    <col min="11" max="11" width="12.83203125" style="1" hidden="1" customWidth="1"/>
    <col min="12" max="12" width="11.33203125" style="1" hidden="1" customWidth="1"/>
    <col min="13" max="13" width="12" style="1" hidden="1" customWidth="1"/>
    <col min="14" max="14" width="11.33203125" style="1" hidden="1" customWidth="1"/>
    <col min="15" max="15" width="10.6640625" style="1" hidden="1" customWidth="1"/>
    <col min="16" max="16" width="14.5" style="1" hidden="1"/>
    <col min="17" max="17" width="14.5" style="1" hidden="1" customWidth="1"/>
    <col min="18" max="18" width="11.5" style="1" customWidth="1"/>
    <col min="19" max="19" width="12.83203125" style="1" customWidth="1"/>
    <col min="20" max="16384" width="14.5" style="1"/>
  </cols>
  <sheetData>
    <row r="1" spans="1:20">
      <c r="A1" s="244" t="s">
        <v>509</v>
      </c>
      <c r="B1" s="228"/>
      <c r="C1" s="228"/>
      <c r="D1" s="228"/>
      <c r="E1" s="228"/>
      <c r="F1" s="228"/>
      <c r="G1" s="228"/>
      <c r="H1" s="228"/>
      <c r="I1" s="228"/>
      <c r="J1" s="228"/>
      <c r="K1" s="228"/>
      <c r="L1" s="228"/>
      <c r="M1" s="228"/>
      <c r="N1" s="228"/>
      <c r="O1" s="228"/>
      <c r="P1" s="228"/>
      <c r="Q1" s="228"/>
      <c r="R1" s="228"/>
      <c r="S1" s="228"/>
    </row>
    <row r="2" spans="1:20" ht="17" thickBot="1">
      <c r="A2" s="2"/>
      <c r="B2" s="2"/>
      <c r="C2" s="2"/>
      <c r="D2" s="2"/>
      <c r="E2" s="2"/>
      <c r="F2" s="2"/>
      <c r="G2" s="2"/>
      <c r="H2" s="152"/>
      <c r="I2" s="2" t="s">
        <v>0</v>
      </c>
      <c r="J2" s="2" t="s">
        <v>1</v>
      </c>
      <c r="K2" s="2"/>
      <c r="L2" s="2"/>
      <c r="M2" s="2"/>
      <c r="N2" s="2"/>
      <c r="O2" s="3"/>
      <c r="P2" s="2"/>
      <c r="Q2" s="4"/>
      <c r="R2" s="2"/>
      <c r="S2" s="5"/>
    </row>
    <row r="3" spans="1:20" ht="48">
      <c r="A3" s="245" t="s">
        <v>2</v>
      </c>
      <c r="B3" s="246"/>
      <c r="C3" s="6" t="s">
        <v>3</v>
      </c>
      <c r="D3" s="6" t="s">
        <v>4</v>
      </c>
      <c r="E3" s="7" t="s">
        <v>5</v>
      </c>
      <c r="F3" s="8" t="s">
        <v>6</v>
      </c>
      <c r="G3" s="9" t="s">
        <v>7</v>
      </c>
      <c r="H3" s="10" t="s">
        <v>8</v>
      </c>
      <c r="I3" s="6">
        <f>SUM(I25:I71)+SUM(I73:I102)+SUM(I106:I161)+SUM(I164:I235)+SUM(I242:I254)+SUM(I257:I296)+SUM(I302:I307)+SUM(I315:I330)</f>
        <v>0</v>
      </c>
      <c r="J3" s="6">
        <f>SUM(J25:J71)+SUM(J73:J102)+SUM(J106:J161)+SUM(J164:J235)+SUM(J242:J254)+SUM(J257:J300)+SUM(J302:J307)+SUM(J315:J330)</f>
        <v>0</v>
      </c>
      <c r="K3" s="6" t="s">
        <v>9</v>
      </c>
      <c r="L3" s="6" t="s">
        <v>10</v>
      </c>
      <c r="M3" s="6" t="s">
        <v>11</v>
      </c>
      <c r="N3" s="6" t="s">
        <v>12</v>
      </c>
      <c r="O3" s="11" t="s">
        <v>13</v>
      </c>
      <c r="P3" s="6" t="s">
        <v>14</v>
      </c>
      <c r="Q3" s="12" t="s">
        <v>15</v>
      </c>
      <c r="R3" s="13" t="s">
        <v>16</v>
      </c>
      <c r="S3" s="157" t="s">
        <v>448</v>
      </c>
    </row>
    <row r="4" spans="1:20" ht="145" customHeight="1" thickBot="1">
      <c r="A4" s="254"/>
      <c r="B4" s="254"/>
      <c r="C4" s="254"/>
      <c r="D4" s="254"/>
      <c r="E4" s="254"/>
      <c r="F4" s="254"/>
      <c r="G4" s="254"/>
      <c r="H4" s="254"/>
      <c r="I4" s="254"/>
      <c r="J4" s="254"/>
      <c r="K4" s="254"/>
      <c r="L4" s="254"/>
      <c r="M4" s="254"/>
      <c r="N4" s="254"/>
      <c r="O4" s="254"/>
      <c r="P4" s="254"/>
      <c r="Q4" s="254"/>
      <c r="R4" s="254"/>
      <c r="S4" s="254"/>
    </row>
    <row r="5" spans="1:20" ht="17" thickTop="1">
      <c r="A5" s="250" t="s">
        <v>461</v>
      </c>
      <c r="B5" s="299" t="s">
        <v>460</v>
      </c>
      <c r="C5" s="297"/>
      <c r="D5" s="297"/>
      <c r="E5" s="300" t="s">
        <v>467</v>
      </c>
      <c r="F5" s="297"/>
      <c r="G5" s="297"/>
      <c r="H5" s="297"/>
      <c r="I5" s="297"/>
      <c r="J5" s="300" t="s">
        <v>473</v>
      </c>
      <c r="K5" s="297"/>
      <c r="L5" s="297"/>
      <c r="M5" s="297"/>
      <c r="N5" s="297"/>
      <c r="O5" s="297"/>
      <c r="P5" s="297"/>
      <c r="Q5" s="297"/>
      <c r="R5" s="297"/>
      <c r="S5" s="298"/>
    </row>
    <row r="6" spans="1:20" ht="16">
      <c r="A6" s="251"/>
      <c r="B6" s="301" t="s">
        <v>464</v>
      </c>
      <c r="C6" s="297"/>
      <c r="D6" s="297"/>
      <c r="E6" s="300" t="s">
        <v>468</v>
      </c>
      <c r="F6" s="297"/>
      <c r="G6" s="297"/>
      <c r="H6" s="297"/>
      <c r="I6" s="297"/>
      <c r="J6" s="300" t="s">
        <v>474</v>
      </c>
      <c r="K6" s="297"/>
      <c r="L6" s="297"/>
      <c r="M6" s="297"/>
      <c r="N6" s="297"/>
      <c r="O6" s="297"/>
      <c r="P6" s="297"/>
      <c r="Q6" s="297"/>
      <c r="R6" s="297"/>
      <c r="S6" s="298"/>
    </row>
    <row r="7" spans="1:20" ht="16">
      <c r="A7" s="251"/>
      <c r="B7" s="299" t="s">
        <v>462</v>
      </c>
      <c r="C7" s="297"/>
      <c r="D7" s="297"/>
      <c r="E7" s="300" t="s">
        <v>469</v>
      </c>
      <c r="F7" s="297"/>
      <c r="G7" s="297"/>
      <c r="H7" s="297"/>
      <c r="I7" s="297"/>
      <c r="J7" s="300" t="s">
        <v>475</v>
      </c>
      <c r="K7" s="297"/>
      <c r="L7" s="297"/>
      <c r="M7" s="297"/>
      <c r="N7" s="297"/>
      <c r="O7" s="297"/>
      <c r="P7" s="297"/>
      <c r="Q7" s="297"/>
      <c r="R7" s="297"/>
      <c r="S7" s="298"/>
    </row>
    <row r="8" spans="1:20" ht="16">
      <c r="A8" s="251"/>
      <c r="B8" s="299" t="s">
        <v>463</v>
      </c>
      <c r="C8" s="297"/>
      <c r="D8" s="297"/>
      <c r="E8" s="300" t="s">
        <v>470</v>
      </c>
      <c r="F8" s="297"/>
      <c r="G8" s="297"/>
      <c r="H8" s="297"/>
      <c r="I8" s="297"/>
      <c r="J8" s="300" t="s">
        <v>476</v>
      </c>
      <c r="K8" s="297"/>
      <c r="L8" s="297"/>
      <c r="M8" s="297"/>
      <c r="N8" s="297"/>
      <c r="O8" s="297"/>
      <c r="P8" s="297"/>
      <c r="Q8" s="297"/>
      <c r="R8" s="297"/>
      <c r="S8" s="298"/>
    </row>
    <row r="9" spans="1:20" ht="16">
      <c r="A9" s="251"/>
      <c r="B9" s="299" t="s">
        <v>466</v>
      </c>
      <c r="C9" s="297"/>
      <c r="D9" s="297"/>
      <c r="E9" s="300" t="s">
        <v>471</v>
      </c>
      <c r="F9" s="297"/>
      <c r="G9" s="297"/>
      <c r="H9" s="297"/>
      <c r="I9" s="297"/>
      <c r="J9" s="297"/>
      <c r="K9" s="297"/>
      <c r="L9" s="297"/>
      <c r="M9" s="297"/>
      <c r="N9" s="297"/>
      <c r="O9" s="297"/>
      <c r="P9" s="297"/>
      <c r="Q9" s="297"/>
      <c r="R9" s="297"/>
      <c r="S9" s="298"/>
    </row>
    <row r="10" spans="1:20" ht="17" thickBot="1">
      <c r="A10" s="302"/>
      <c r="B10" s="299" t="s">
        <v>465</v>
      </c>
      <c r="C10" s="297"/>
      <c r="D10" s="297"/>
      <c r="E10" s="300" t="s">
        <v>472</v>
      </c>
      <c r="F10" s="297"/>
      <c r="G10" s="297"/>
      <c r="H10" s="297"/>
      <c r="I10" s="297"/>
      <c r="J10" s="297"/>
      <c r="K10" s="297"/>
      <c r="L10" s="297"/>
      <c r="M10" s="297"/>
      <c r="N10" s="297"/>
      <c r="O10" s="297"/>
      <c r="P10" s="297"/>
      <c r="Q10" s="297"/>
      <c r="R10" s="297"/>
      <c r="S10" s="298"/>
    </row>
    <row r="11" spans="1:20" ht="17" thickTop="1">
      <c r="A11" s="250" t="s">
        <v>25</v>
      </c>
      <c r="B11" s="247" t="s">
        <v>26</v>
      </c>
      <c r="C11" s="247"/>
      <c r="D11" s="247"/>
      <c r="E11" s="247"/>
      <c r="F11" s="247"/>
      <c r="G11" s="247"/>
      <c r="H11" s="247"/>
      <c r="I11" s="247"/>
      <c r="J11" s="247"/>
      <c r="K11" s="247"/>
      <c r="L11" s="247"/>
      <c r="M11" s="247"/>
      <c r="N11" s="247"/>
      <c r="O11" s="247"/>
      <c r="P11" s="247"/>
      <c r="Q11" s="247"/>
      <c r="R11" s="247"/>
      <c r="S11" s="18" t="s">
        <v>27</v>
      </c>
    </row>
    <row r="12" spans="1:20" ht="16">
      <c r="A12" s="251"/>
      <c r="B12" s="19" t="s">
        <v>28</v>
      </c>
      <c r="C12" s="16"/>
      <c r="D12" s="16"/>
      <c r="E12" s="16"/>
      <c r="F12" s="16"/>
      <c r="G12" s="16"/>
      <c r="H12" s="16"/>
      <c r="I12" s="16"/>
      <c r="J12" s="16"/>
      <c r="K12" s="16"/>
      <c r="L12" s="16"/>
      <c r="M12" s="16"/>
      <c r="N12" s="16"/>
      <c r="O12" s="16"/>
      <c r="P12" s="16"/>
      <c r="Q12" s="16"/>
      <c r="R12" s="16"/>
      <c r="S12" s="17"/>
    </row>
    <row r="13" spans="1:20" ht="16">
      <c r="A13" s="251"/>
      <c r="B13" s="20" t="s">
        <v>29</v>
      </c>
      <c r="C13" s="14"/>
      <c r="D13" s="14"/>
      <c r="E13" s="14"/>
      <c r="F13" s="14"/>
      <c r="G13" s="14"/>
      <c r="H13" s="14"/>
      <c r="I13" s="14"/>
      <c r="J13" s="14"/>
      <c r="K13" s="14"/>
      <c r="L13" s="14"/>
      <c r="M13" s="14"/>
      <c r="N13" s="14"/>
      <c r="O13" s="14"/>
      <c r="P13" s="14"/>
      <c r="Q13" s="14"/>
      <c r="R13" s="14"/>
      <c r="S13" s="15"/>
      <c r="T13" s="151"/>
    </row>
    <row r="14" spans="1:20" ht="16">
      <c r="A14" s="251"/>
      <c r="B14" s="19" t="s">
        <v>30</v>
      </c>
      <c r="C14" s="16"/>
      <c r="D14" s="16"/>
      <c r="E14" s="16"/>
      <c r="F14" s="16"/>
      <c r="G14" s="16"/>
      <c r="H14" s="16"/>
      <c r="I14" s="16"/>
      <c r="J14" s="16"/>
      <c r="K14" s="16"/>
      <c r="L14" s="16"/>
      <c r="M14" s="16"/>
      <c r="N14" s="16"/>
      <c r="O14" s="16"/>
      <c r="P14" s="16"/>
      <c r="Q14" s="16"/>
      <c r="R14" s="16"/>
      <c r="S14" s="17"/>
    </row>
    <row r="15" spans="1:20" ht="33" customHeight="1" thickBot="1">
      <c r="A15" s="251"/>
      <c r="B15" s="248" t="s">
        <v>31</v>
      </c>
      <c r="C15" s="248"/>
      <c r="D15" s="248"/>
      <c r="E15" s="248"/>
      <c r="F15" s="248"/>
      <c r="G15" s="248"/>
      <c r="H15" s="248"/>
      <c r="I15" s="248"/>
      <c r="J15" s="248"/>
      <c r="K15" s="248"/>
      <c r="L15" s="248"/>
      <c r="M15" s="248"/>
      <c r="N15" s="248"/>
      <c r="O15" s="248"/>
      <c r="P15" s="248"/>
      <c r="Q15" s="248"/>
      <c r="R15" s="248"/>
      <c r="S15" s="15"/>
    </row>
    <row r="16" spans="1:20" ht="17" customHeight="1" thickTop="1">
      <c r="A16" s="291" t="s">
        <v>17</v>
      </c>
      <c r="B16" s="192" t="s">
        <v>18</v>
      </c>
      <c r="C16" s="193"/>
      <c r="D16" s="193"/>
      <c r="E16" s="194"/>
      <c r="F16" s="195"/>
      <c r="G16" s="193"/>
      <c r="H16" s="196"/>
      <c r="I16" s="193"/>
      <c r="J16" s="193"/>
      <c r="K16" s="193"/>
      <c r="L16" s="193"/>
      <c r="M16" s="193"/>
      <c r="N16" s="193"/>
      <c r="O16" s="193"/>
      <c r="P16" s="193"/>
      <c r="Q16" s="193"/>
      <c r="R16" s="193"/>
      <c r="S16" s="197"/>
    </row>
    <row r="17" spans="1:19" ht="16">
      <c r="A17" s="292"/>
      <c r="B17" s="158" t="s">
        <v>19</v>
      </c>
      <c r="C17" s="186"/>
      <c r="D17" s="186"/>
      <c r="E17" s="187"/>
      <c r="F17" s="188"/>
      <c r="G17" s="186"/>
      <c r="H17" s="189"/>
      <c r="I17" s="186"/>
      <c r="J17" s="186"/>
      <c r="K17" s="186"/>
      <c r="L17" s="186"/>
      <c r="M17" s="186"/>
      <c r="N17" s="186"/>
      <c r="O17" s="186"/>
      <c r="P17" s="186"/>
      <c r="Q17" s="186"/>
      <c r="R17" s="186"/>
      <c r="S17" s="198"/>
    </row>
    <row r="18" spans="1:19" ht="16">
      <c r="A18" s="292"/>
      <c r="B18" s="182" t="s">
        <v>20</v>
      </c>
      <c r="C18" s="183"/>
      <c r="D18" s="183"/>
      <c r="E18" s="190"/>
      <c r="F18" s="184"/>
      <c r="G18" s="183"/>
      <c r="H18" s="185"/>
      <c r="I18" s="183"/>
      <c r="J18" s="183"/>
      <c r="K18" s="183"/>
      <c r="L18" s="183"/>
      <c r="M18" s="183"/>
      <c r="N18" s="183"/>
      <c r="O18" s="183"/>
      <c r="P18" s="183"/>
      <c r="Q18" s="183"/>
      <c r="R18" s="183"/>
      <c r="S18" s="199"/>
    </row>
    <row r="19" spans="1:19" ht="16">
      <c r="A19" s="292"/>
      <c r="B19" s="158" t="s">
        <v>21</v>
      </c>
      <c r="C19" s="186"/>
      <c r="D19" s="186"/>
      <c r="E19" s="187"/>
      <c r="F19" s="188"/>
      <c r="G19" s="186"/>
      <c r="H19" s="189"/>
      <c r="I19" s="186"/>
      <c r="J19" s="186"/>
      <c r="K19" s="186"/>
      <c r="L19" s="186"/>
      <c r="M19" s="186"/>
      <c r="N19" s="186"/>
      <c r="O19" s="186"/>
      <c r="P19" s="186"/>
      <c r="Q19" s="186"/>
      <c r="R19" s="186"/>
      <c r="S19" s="198"/>
    </row>
    <row r="20" spans="1:19" s="165" customFormat="1" ht="17" customHeight="1">
      <c r="A20" s="292"/>
      <c r="B20" s="182" t="s">
        <v>22</v>
      </c>
      <c r="C20" s="183"/>
      <c r="D20" s="183"/>
      <c r="E20" s="191" t="s">
        <v>23</v>
      </c>
      <c r="F20" s="255" t="s">
        <v>24</v>
      </c>
      <c r="G20" s="255"/>
      <c r="H20" s="255"/>
      <c r="I20" s="255"/>
      <c r="J20" s="255"/>
      <c r="K20" s="255"/>
      <c r="L20" s="255"/>
      <c r="M20" s="255"/>
      <c r="N20" s="255"/>
      <c r="O20" s="255"/>
      <c r="P20" s="255"/>
      <c r="Q20" s="255"/>
      <c r="R20" s="255"/>
      <c r="S20" s="256"/>
    </row>
    <row r="21" spans="1:19" ht="17" customHeight="1" thickBot="1">
      <c r="A21" s="293"/>
      <c r="B21" s="200" t="s">
        <v>488</v>
      </c>
      <c r="C21" s="201"/>
      <c r="D21" s="201"/>
      <c r="E21" s="202"/>
      <c r="F21" s="203"/>
      <c r="G21" s="201"/>
      <c r="H21" s="204"/>
      <c r="I21" s="201"/>
      <c r="J21" s="201"/>
      <c r="K21" s="201"/>
      <c r="L21" s="201"/>
      <c r="M21" s="201"/>
      <c r="N21" s="201"/>
      <c r="O21" s="201"/>
      <c r="P21" s="201"/>
      <c r="Q21" s="201"/>
      <c r="R21" s="201"/>
      <c r="S21" s="205"/>
    </row>
    <row r="22" spans="1:19" ht="93" customHeight="1" thickTop="1" thickBot="1">
      <c r="A22" s="249"/>
      <c r="B22" s="228"/>
      <c r="C22" s="228"/>
      <c r="D22" s="228"/>
      <c r="E22" s="228"/>
      <c r="F22" s="228"/>
      <c r="G22" s="228"/>
      <c r="H22" s="228"/>
      <c r="I22" s="228"/>
      <c r="J22" s="228"/>
      <c r="K22" s="228"/>
      <c r="L22" s="228"/>
      <c r="M22" s="228"/>
      <c r="N22" s="228"/>
      <c r="O22" s="228"/>
      <c r="P22" s="228"/>
      <c r="Q22" s="228"/>
      <c r="R22" s="228"/>
      <c r="S22" s="228"/>
    </row>
    <row r="23" spans="1:19" ht="17" thickBot="1">
      <c r="A23" s="252" t="s">
        <v>32</v>
      </c>
      <c r="B23" s="253"/>
      <c r="C23" s="21"/>
      <c r="D23" s="21"/>
      <c r="E23" s="22"/>
      <c r="F23" s="23"/>
      <c r="G23" s="24"/>
      <c r="H23" s="28"/>
      <c r="I23" s="238"/>
      <c r="J23" s="232"/>
      <c r="K23" s="238"/>
      <c r="L23" s="232"/>
      <c r="M23" s="238"/>
      <c r="N23" s="232"/>
      <c r="O23" s="167"/>
      <c r="P23" s="168"/>
      <c r="Q23" s="167"/>
      <c r="R23" s="238"/>
      <c r="S23" s="232"/>
    </row>
    <row r="24" spans="1:19" ht="46" customHeight="1" thickBot="1">
      <c r="A24" s="242" t="s">
        <v>33</v>
      </c>
      <c r="B24" s="228"/>
      <c r="C24" s="25"/>
      <c r="D24" s="25"/>
      <c r="E24" s="26"/>
      <c r="F24" s="23"/>
      <c r="G24" s="27"/>
      <c r="H24" s="28"/>
      <c r="I24" s="25"/>
      <c r="J24" s="25"/>
      <c r="K24" s="25"/>
      <c r="L24" s="25"/>
      <c r="M24" s="25"/>
      <c r="N24" s="25"/>
      <c r="O24" s="25"/>
      <c r="P24" s="25"/>
      <c r="Q24" s="29"/>
      <c r="R24" s="30"/>
      <c r="S24" s="31"/>
    </row>
    <row r="25" spans="1:19" ht="17" thickBot="1">
      <c r="A25" s="243" t="s">
        <v>34</v>
      </c>
      <c r="B25" s="228"/>
      <c r="C25" s="32"/>
      <c r="D25" s="32"/>
      <c r="E25" s="26"/>
      <c r="F25" s="23"/>
      <c r="G25" s="27"/>
      <c r="H25" s="28"/>
      <c r="I25" s="32"/>
      <c r="J25" s="32"/>
      <c r="K25" s="32"/>
      <c r="L25" s="32"/>
      <c r="M25" s="32"/>
      <c r="N25" s="32"/>
      <c r="O25" s="32"/>
      <c r="P25" s="32"/>
      <c r="Q25" s="33"/>
      <c r="R25" s="34"/>
      <c r="S25" s="35"/>
    </row>
    <row r="26" spans="1:19" ht="17" thickBot="1">
      <c r="A26" s="229" t="s">
        <v>35</v>
      </c>
      <c r="B26" s="228"/>
      <c r="C26" s="25">
        <v>17</v>
      </c>
      <c r="D26" s="25">
        <f>45/10</f>
        <v>4.5</v>
      </c>
      <c r="E26" s="36"/>
      <c r="F26" s="23">
        <v>16</v>
      </c>
      <c r="G26" s="27">
        <f>C26+D26</f>
        <v>21.5</v>
      </c>
      <c r="H26" s="28">
        <f>O26/G26</f>
        <v>0.2558139534883721</v>
      </c>
      <c r="I26" s="37">
        <f>F26*E26</f>
        <v>0</v>
      </c>
      <c r="J26" s="37">
        <f>(G26-F26)*E26</f>
        <v>0</v>
      </c>
      <c r="K26" s="25">
        <v>10</v>
      </c>
      <c r="L26" s="25">
        <v>4.5</v>
      </c>
      <c r="M26" s="29">
        <f>(G26-(L26+K26))/G26</f>
        <v>0.32558139534883723</v>
      </c>
      <c r="N26" s="25">
        <f>K26+L26</f>
        <v>14.5</v>
      </c>
      <c r="O26" s="25">
        <f>G26-F26</f>
        <v>5.5</v>
      </c>
      <c r="P26" s="25">
        <f>F26-N26</f>
        <v>1.5</v>
      </c>
      <c r="Q26" s="29">
        <f>P26</f>
        <v>1.5</v>
      </c>
      <c r="R26" s="30" t="s">
        <v>36</v>
      </c>
      <c r="S26" s="31" t="s">
        <v>37</v>
      </c>
    </row>
    <row r="27" spans="1:19" ht="17" thickBot="1">
      <c r="A27" s="227" t="s">
        <v>38</v>
      </c>
      <c r="B27" s="228"/>
      <c r="C27" s="32"/>
      <c r="D27" s="32">
        <v>45</v>
      </c>
      <c r="E27" s="38"/>
      <c r="F27" s="23">
        <v>260</v>
      </c>
      <c r="G27" s="27" t="s">
        <v>39</v>
      </c>
      <c r="H27" s="28"/>
      <c r="I27" s="39">
        <f>F27*E27</f>
        <v>0</v>
      </c>
      <c r="J27" s="40"/>
      <c r="K27" s="32">
        <v>200</v>
      </c>
      <c r="L27" s="32">
        <v>45</v>
      </c>
      <c r="M27" s="33"/>
      <c r="N27" s="32">
        <f>K27+L27</f>
        <v>245</v>
      </c>
      <c r="O27" s="32"/>
      <c r="P27" s="32">
        <f>F27-N27</f>
        <v>15</v>
      </c>
      <c r="Q27" s="33">
        <f>P27</f>
        <v>15</v>
      </c>
      <c r="R27" s="34" t="s">
        <v>36</v>
      </c>
      <c r="S27" s="35" t="s">
        <v>40</v>
      </c>
    </row>
    <row r="28" spans="1:19" ht="17" thickBot="1">
      <c r="A28" s="229" t="s">
        <v>41</v>
      </c>
      <c r="B28" s="228"/>
      <c r="C28" s="25"/>
      <c r="D28" s="25">
        <v>45</v>
      </c>
      <c r="E28" s="36"/>
      <c r="F28" s="23">
        <v>460</v>
      </c>
      <c r="G28" s="27" t="s">
        <v>39</v>
      </c>
      <c r="H28" s="28"/>
      <c r="I28" s="37">
        <f>F28*E28</f>
        <v>0</v>
      </c>
      <c r="J28" s="37"/>
      <c r="K28" s="25">
        <v>400</v>
      </c>
      <c r="L28" s="25">
        <v>45</v>
      </c>
      <c r="M28" s="29"/>
      <c r="N28" s="25">
        <f>K28+L28</f>
        <v>445</v>
      </c>
      <c r="O28" s="25"/>
      <c r="P28" s="25">
        <f>F28-N28</f>
        <v>15</v>
      </c>
      <c r="Q28" s="29">
        <f>P28</f>
        <v>15</v>
      </c>
      <c r="R28" s="30" t="s">
        <v>36</v>
      </c>
      <c r="S28" s="31" t="s">
        <v>42</v>
      </c>
    </row>
    <row r="29" spans="1:19" ht="17" thickBot="1">
      <c r="A29" s="227" t="s">
        <v>43</v>
      </c>
      <c r="B29" s="228"/>
      <c r="C29" s="32"/>
      <c r="D29" s="32"/>
      <c r="E29" s="38"/>
      <c r="F29" s="23">
        <v>419</v>
      </c>
      <c r="G29" s="27" t="s">
        <v>39</v>
      </c>
      <c r="H29" s="28"/>
      <c r="I29" s="39">
        <f>F29*E29</f>
        <v>0</v>
      </c>
      <c r="J29" s="40"/>
      <c r="K29" s="32">
        <v>360</v>
      </c>
      <c r="L29" s="32">
        <v>45</v>
      </c>
      <c r="M29" s="33"/>
      <c r="N29" s="32">
        <f>K29+L29</f>
        <v>405</v>
      </c>
      <c r="O29" s="32"/>
      <c r="P29" s="32">
        <f>F29-N29</f>
        <v>14</v>
      </c>
      <c r="Q29" s="33"/>
      <c r="R29" s="34" t="s">
        <v>36</v>
      </c>
      <c r="S29" s="41" t="s">
        <v>44</v>
      </c>
    </row>
    <row r="30" spans="1:19" ht="17" thickBot="1">
      <c r="A30" s="241" t="s">
        <v>45</v>
      </c>
      <c r="B30" s="228"/>
      <c r="C30" s="25"/>
      <c r="D30" s="25"/>
      <c r="E30" s="26"/>
      <c r="F30" s="23"/>
      <c r="G30" s="27"/>
      <c r="H30" s="28"/>
      <c r="I30" s="25"/>
      <c r="J30" s="25"/>
      <c r="K30" s="25"/>
      <c r="L30" s="25"/>
      <c r="M30" s="29"/>
      <c r="N30" s="25"/>
      <c r="O30" s="25"/>
      <c r="P30" s="25"/>
      <c r="Q30" s="29"/>
      <c r="R30" s="30"/>
      <c r="S30" s="42"/>
    </row>
    <row r="31" spans="1:19" ht="17" thickBot="1">
      <c r="A31" s="227" t="s">
        <v>46</v>
      </c>
      <c r="B31" s="228"/>
      <c r="C31" s="32">
        <v>27</v>
      </c>
      <c r="D31" s="32">
        <v>4.5</v>
      </c>
      <c r="E31" s="43"/>
      <c r="F31" s="23">
        <v>26</v>
      </c>
      <c r="G31" s="27">
        <f>C31+D31</f>
        <v>31.5</v>
      </c>
      <c r="H31" s="28">
        <f>O31/G31</f>
        <v>0.17460317460317459</v>
      </c>
      <c r="I31" s="44">
        <f>F31*E31</f>
        <v>0</v>
      </c>
      <c r="J31" s="44">
        <f>(G31-F31)*E31</f>
        <v>0</v>
      </c>
      <c r="K31" s="32">
        <f>K33/40</f>
        <v>18.7</v>
      </c>
      <c r="L31" s="32">
        <f>45/10</f>
        <v>4.5</v>
      </c>
      <c r="M31" s="33">
        <f>(G31-(L31+K31))/G31</f>
        <v>0.2634920634920635</v>
      </c>
      <c r="N31" s="32">
        <f>K31+L31</f>
        <v>23.2</v>
      </c>
      <c r="O31" s="32">
        <f>G31-F31</f>
        <v>5.5</v>
      </c>
      <c r="P31" s="32">
        <f>F31-N31</f>
        <v>2.8000000000000007</v>
      </c>
      <c r="Q31" s="33">
        <f>P31</f>
        <v>2.8000000000000007</v>
      </c>
      <c r="R31" s="34" t="s">
        <v>36</v>
      </c>
      <c r="S31" s="35" t="s">
        <v>47</v>
      </c>
    </row>
    <row r="32" spans="1:19" ht="17" thickBot="1">
      <c r="A32" s="229" t="s">
        <v>48</v>
      </c>
      <c r="B32" s="228"/>
      <c r="C32" s="25"/>
      <c r="D32" s="25">
        <v>45</v>
      </c>
      <c r="E32" s="43"/>
      <c r="F32" s="23">
        <v>432</v>
      </c>
      <c r="G32" s="27" t="s">
        <v>39</v>
      </c>
      <c r="H32" s="28"/>
      <c r="I32" s="45">
        <f>F32*E32</f>
        <v>0</v>
      </c>
      <c r="J32" s="45"/>
      <c r="K32" s="25">
        <f>K33/2</f>
        <v>374</v>
      </c>
      <c r="L32" s="25">
        <v>45</v>
      </c>
      <c r="M32" s="29"/>
      <c r="N32" s="25">
        <f>K32+L32</f>
        <v>419</v>
      </c>
      <c r="O32" s="25"/>
      <c r="P32" s="25">
        <f>F32-N32</f>
        <v>13</v>
      </c>
      <c r="Q32" s="29">
        <f>P32</f>
        <v>13</v>
      </c>
      <c r="R32" s="30" t="s">
        <v>36</v>
      </c>
      <c r="S32" s="31" t="s">
        <v>49</v>
      </c>
    </row>
    <row r="33" spans="1:19" ht="17" thickBot="1">
      <c r="A33" s="227" t="s">
        <v>50</v>
      </c>
      <c r="B33" s="228"/>
      <c r="C33" s="32"/>
      <c r="D33" s="32">
        <v>45</v>
      </c>
      <c r="E33" s="43"/>
      <c r="F33" s="23">
        <v>817</v>
      </c>
      <c r="G33" s="27" t="s">
        <v>39</v>
      </c>
      <c r="H33" s="28"/>
      <c r="I33" s="44">
        <f>F33*E33</f>
        <v>0</v>
      </c>
      <c r="J33" s="44"/>
      <c r="K33" s="32">
        <v>748</v>
      </c>
      <c r="L33" s="32">
        <v>45</v>
      </c>
      <c r="M33" s="33"/>
      <c r="N33" s="32">
        <f>K33+L33</f>
        <v>793</v>
      </c>
      <c r="O33" s="32"/>
      <c r="P33" s="32">
        <f>F33-N33</f>
        <v>24</v>
      </c>
      <c r="Q33" s="33">
        <f>P33</f>
        <v>24</v>
      </c>
      <c r="R33" s="34" t="s">
        <v>36</v>
      </c>
      <c r="S33" s="35" t="s">
        <v>51</v>
      </c>
    </row>
    <row r="34" spans="1:19" ht="17" thickBot="1">
      <c r="A34" s="241" t="s">
        <v>52</v>
      </c>
      <c r="B34" s="228"/>
      <c r="C34" s="25"/>
      <c r="D34" s="25"/>
      <c r="E34" s="26"/>
      <c r="F34" s="23"/>
      <c r="G34" s="27"/>
      <c r="H34" s="28"/>
      <c r="I34" s="25"/>
      <c r="J34" s="25"/>
      <c r="K34" s="25"/>
      <c r="L34" s="25"/>
      <c r="M34" s="29"/>
      <c r="N34" s="25"/>
      <c r="O34" s="25"/>
      <c r="P34" s="25"/>
      <c r="Q34" s="29"/>
      <c r="R34" s="30"/>
      <c r="S34" s="31"/>
    </row>
    <row r="35" spans="1:19" ht="17" thickBot="1">
      <c r="A35" s="227" t="s">
        <v>53</v>
      </c>
      <c r="B35" s="228"/>
      <c r="C35" s="32">
        <v>20</v>
      </c>
      <c r="D35" s="32">
        <f>45/10</f>
        <v>4.5</v>
      </c>
      <c r="E35" s="43"/>
      <c r="F35" s="23">
        <v>22</v>
      </c>
      <c r="G35" s="27">
        <f>C35+D35</f>
        <v>24.5</v>
      </c>
      <c r="H35" s="28">
        <f>O35/G35</f>
        <v>0.10204081632653061</v>
      </c>
      <c r="I35" s="44">
        <f>F35*E35</f>
        <v>0</v>
      </c>
      <c r="J35" s="44">
        <f>(G35-F35)*E35</f>
        <v>0</v>
      </c>
      <c r="K35" s="32">
        <f>K37/40</f>
        <v>15.574999999999999</v>
      </c>
      <c r="L35" s="32">
        <v>4.5</v>
      </c>
      <c r="M35" s="33">
        <f>(G35-(L35+K35))/G35</f>
        <v>0.18061224489795921</v>
      </c>
      <c r="N35" s="32">
        <f>K35+L35</f>
        <v>20.074999999999999</v>
      </c>
      <c r="O35" s="32">
        <f>G35-F35</f>
        <v>2.5</v>
      </c>
      <c r="P35" s="32">
        <f>F35-N35</f>
        <v>1.9250000000000007</v>
      </c>
      <c r="Q35" s="33">
        <f>P35</f>
        <v>1.9250000000000007</v>
      </c>
      <c r="R35" s="34" t="s">
        <v>36</v>
      </c>
      <c r="S35" s="35" t="s">
        <v>54</v>
      </c>
    </row>
    <row r="36" spans="1:19" ht="17" thickBot="1">
      <c r="A36" s="229" t="s">
        <v>55</v>
      </c>
      <c r="B36" s="228"/>
      <c r="C36" s="25"/>
      <c r="D36" s="25">
        <v>45</v>
      </c>
      <c r="E36" s="43"/>
      <c r="F36" s="23">
        <v>368</v>
      </c>
      <c r="G36" s="27" t="s">
        <v>39</v>
      </c>
      <c r="H36" s="28"/>
      <c r="I36" s="45">
        <f>F36*E36</f>
        <v>0</v>
      </c>
      <c r="J36" s="45"/>
      <c r="K36" s="25">
        <f>K37/2</f>
        <v>311.5</v>
      </c>
      <c r="L36" s="25">
        <v>45</v>
      </c>
      <c r="M36" s="29"/>
      <c r="N36" s="25">
        <f>K36+L36</f>
        <v>356.5</v>
      </c>
      <c r="O36" s="25"/>
      <c r="P36" s="25">
        <f>F36-N36</f>
        <v>11.5</v>
      </c>
      <c r="Q36" s="29">
        <f>P36</f>
        <v>11.5</v>
      </c>
      <c r="R36" s="30" t="s">
        <v>36</v>
      </c>
      <c r="S36" s="31" t="s">
        <v>56</v>
      </c>
    </row>
    <row r="37" spans="1:19" ht="17" thickBot="1">
      <c r="A37" s="227" t="s">
        <v>57</v>
      </c>
      <c r="B37" s="228"/>
      <c r="C37" s="32"/>
      <c r="D37" s="32">
        <v>45</v>
      </c>
      <c r="E37" s="43"/>
      <c r="F37" s="23">
        <v>689</v>
      </c>
      <c r="G37" s="27" t="s">
        <v>39</v>
      </c>
      <c r="H37" s="28"/>
      <c r="I37" s="44">
        <f>F37*E37</f>
        <v>0</v>
      </c>
      <c r="J37" s="44"/>
      <c r="K37" s="32">
        <v>623</v>
      </c>
      <c r="L37" s="32">
        <v>45</v>
      </c>
      <c r="M37" s="33"/>
      <c r="N37" s="32">
        <f>K37+L37</f>
        <v>668</v>
      </c>
      <c r="O37" s="32"/>
      <c r="P37" s="32">
        <f>F37-N37</f>
        <v>21</v>
      </c>
      <c r="Q37" s="33">
        <f>P37</f>
        <v>21</v>
      </c>
      <c r="R37" s="34" t="s">
        <v>36</v>
      </c>
      <c r="S37" s="35" t="s">
        <v>58</v>
      </c>
    </row>
    <row r="38" spans="1:19" ht="17" thickBot="1">
      <c r="A38" s="241" t="s">
        <v>59</v>
      </c>
      <c r="B38" s="228"/>
      <c r="C38" s="25"/>
      <c r="D38" s="25"/>
      <c r="E38" s="26"/>
      <c r="F38" s="23"/>
      <c r="G38" s="27"/>
      <c r="H38" s="28"/>
      <c r="I38" s="25"/>
      <c r="J38" s="25"/>
      <c r="K38" s="25"/>
      <c r="L38" s="25"/>
      <c r="M38" s="29"/>
      <c r="N38" s="25"/>
      <c r="O38" s="25"/>
      <c r="P38" s="25"/>
      <c r="Q38" s="29"/>
      <c r="R38" s="30"/>
      <c r="S38" s="31"/>
    </row>
    <row r="39" spans="1:19" ht="17" thickBot="1">
      <c r="A39" s="227" t="s">
        <v>60</v>
      </c>
      <c r="B39" s="228"/>
      <c r="C39" s="32"/>
      <c r="D39" s="32">
        <v>4.5</v>
      </c>
      <c r="E39" s="43"/>
      <c r="F39" s="23">
        <v>25</v>
      </c>
      <c r="G39" s="27" t="s">
        <v>39</v>
      </c>
      <c r="H39" s="28"/>
      <c r="I39" s="44">
        <f>F39*E39</f>
        <v>0</v>
      </c>
      <c r="J39" s="44"/>
      <c r="K39" s="32">
        <f>K41/40</f>
        <v>19.225000000000001</v>
      </c>
      <c r="L39" s="32">
        <v>4.5</v>
      </c>
      <c r="M39" s="33"/>
      <c r="N39" s="32">
        <f>K39+L39</f>
        <v>23.725000000000001</v>
      </c>
      <c r="O39" s="32"/>
      <c r="P39" s="32">
        <f>F39-N39</f>
        <v>1.2749999999999986</v>
      </c>
      <c r="Q39" s="33">
        <f>P39</f>
        <v>1.2749999999999986</v>
      </c>
      <c r="R39" s="34" t="s">
        <v>36</v>
      </c>
      <c r="S39" s="35" t="s">
        <v>61</v>
      </c>
    </row>
    <row r="40" spans="1:19" ht="17" thickBot="1">
      <c r="A40" s="229" t="s">
        <v>62</v>
      </c>
      <c r="B40" s="228"/>
      <c r="C40" s="25"/>
      <c r="D40" s="25">
        <v>45</v>
      </c>
      <c r="E40" s="43"/>
      <c r="F40" s="23">
        <v>443</v>
      </c>
      <c r="G40" s="27" t="s">
        <v>39</v>
      </c>
      <c r="H40" s="28"/>
      <c r="I40" s="45">
        <f>F40*E40</f>
        <v>0</v>
      </c>
      <c r="J40" s="45"/>
      <c r="K40" s="25">
        <f>K41/2</f>
        <v>384.5</v>
      </c>
      <c r="L40" s="25">
        <v>45</v>
      </c>
      <c r="M40" s="29"/>
      <c r="N40" s="25">
        <f>K40+L40</f>
        <v>429.5</v>
      </c>
      <c r="O40" s="25"/>
      <c r="P40" s="25">
        <f>F40-N40</f>
        <v>13.5</v>
      </c>
      <c r="Q40" s="29">
        <f>P40</f>
        <v>13.5</v>
      </c>
      <c r="R40" s="30" t="s">
        <v>36</v>
      </c>
      <c r="S40" s="31" t="s">
        <v>63</v>
      </c>
    </row>
    <row r="41" spans="1:19" ht="17" thickBot="1">
      <c r="A41" s="227" t="s">
        <v>64</v>
      </c>
      <c r="B41" s="228"/>
      <c r="C41" s="32"/>
      <c r="D41" s="32">
        <v>45</v>
      </c>
      <c r="E41" s="43"/>
      <c r="F41" s="23">
        <v>839</v>
      </c>
      <c r="G41" s="27" t="s">
        <v>39</v>
      </c>
      <c r="H41" s="28"/>
      <c r="I41" s="44">
        <f>F41*E41</f>
        <v>0</v>
      </c>
      <c r="J41" s="44"/>
      <c r="K41" s="32">
        <v>769</v>
      </c>
      <c r="L41" s="32">
        <v>45</v>
      </c>
      <c r="M41" s="33"/>
      <c r="N41" s="32">
        <f>K41+L41</f>
        <v>814</v>
      </c>
      <c r="O41" s="32"/>
      <c r="P41" s="32">
        <f>F41-N41</f>
        <v>25</v>
      </c>
      <c r="Q41" s="33">
        <f>P41</f>
        <v>25</v>
      </c>
      <c r="R41" s="34" t="s">
        <v>36</v>
      </c>
      <c r="S41" s="35" t="s">
        <v>65</v>
      </c>
    </row>
    <row r="42" spans="1:19" ht="17" thickBot="1">
      <c r="A42" s="238" t="s">
        <v>66</v>
      </c>
      <c r="B42" s="232"/>
      <c r="C42" s="46"/>
      <c r="D42" s="46"/>
      <c r="E42" s="22"/>
      <c r="F42" s="23"/>
      <c r="G42" s="24"/>
      <c r="H42" s="28"/>
      <c r="I42" s="238"/>
      <c r="J42" s="232"/>
      <c r="K42" s="238"/>
      <c r="L42" s="232"/>
      <c r="M42" s="238"/>
      <c r="N42" s="232"/>
      <c r="O42" s="238"/>
      <c r="P42" s="232"/>
      <c r="Q42" s="238"/>
      <c r="R42" s="232"/>
      <c r="S42" s="153"/>
    </row>
    <row r="43" spans="1:19" ht="17" thickBot="1">
      <c r="A43" s="229" t="s">
        <v>67</v>
      </c>
      <c r="B43" s="228"/>
      <c r="C43" s="25">
        <v>33.22</v>
      </c>
      <c r="D43" s="25">
        <v>10</v>
      </c>
      <c r="E43" s="43"/>
      <c r="F43" s="23">
        <v>33</v>
      </c>
      <c r="G43" s="27">
        <f t="shared" ref="G43:G55" si="0">C43+D43</f>
        <v>43.22</v>
      </c>
      <c r="H43" s="28">
        <f t="shared" ref="H43:H55" si="1">O43/G43</f>
        <v>0.23646459972235073</v>
      </c>
      <c r="I43" s="45">
        <f t="shared" ref="I43:I55" si="2">F43*E43</f>
        <v>0</v>
      </c>
      <c r="J43" s="45">
        <f t="shared" ref="J43:J55" si="3">(G43-F43)*E43</f>
        <v>0</v>
      </c>
      <c r="K43" s="25">
        <v>29.95</v>
      </c>
      <c r="L43" s="25">
        <f t="shared" ref="L43:L55" si="4">K43*0.05</f>
        <v>1.4975000000000001</v>
      </c>
      <c r="M43" s="25">
        <f t="shared" ref="M43:M55" si="5">(G43-N43)/G43</f>
        <v>0.27238546968995836</v>
      </c>
      <c r="N43" s="25">
        <f t="shared" ref="N43:N55" si="6">K43+L43</f>
        <v>31.447499999999998</v>
      </c>
      <c r="O43" s="25">
        <f t="shared" ref="O43:O55" si="7">G43-F43</f>
        <v>10.219999999999999</v>
      </c>
      <c r="P43" s="25">
        <f t="shared" ref="P43:P55" si="8">F43-N43</f>
        <v>1.552500000000002</v>
      </c>
      <c r="Q43" s="29">
        <f t="shared" ref="Q43:Q55" si="9">P43/N43</f>
        <v>4.9367994276174644E-2</v>
      </c>
      <c r="R43" s="30" t="s">
        <v>68</v>
      </c>
      <c r="S43" s="31">
        <v>12221</v>
      </c>
    </row>
    <row r="44" spans="1:19" ht="17" thickBot="1">
      <c r="A44" s="227" t="s">
        <v>69</v>
      </c>
      <c r="B44" s="228"/>
      <c r="C44" s="32">
        <v>135</v>
      </c>
      <c r="D44" s="32">
        <v>28</v>
      </c>
      <c r="E44" s="43"/>
      <c r="F44" s="23">
        <v>108</v>
      </c>
      <c r="G44" s="27">
        <f t="shared" si="0"/>
        <v>163</v>
      </c>
      <c r="H44" s="28">
        <f t="shared" si="1"/>
        <v>0.33742331288343558</v>
      </c>
      <c r="I44" s="44">
        <f t="shared" si="2"/>
        <v>0</v>
      </c>
      <c r="J44" s="44">
        <f t="shared" si="3"/>
        <v>0</v>
      </c>
      <c r="K44" s="32">
        <v>99.5</v>
      </c>
      <c r="L44" s="32">
        <f t="shared" si="4"/>
        <v>4.9750000000000005</v>
      </c>
      <c r="M44" s="32">
        <f t="shared" si="5"/>
        <v>0.35904907975460126</v>
      </c>
      <c r="N44" s="32">
        <f t="shared" si="6"/>
        <v>104.47499999999999</v>
      </c>
      <c r="O44" s="32">
        <f t="shared" si="7"/>
        <v>55</v>
      </c>
      <c r="P44" s="32">
        <f t="shared" si="8"/>
        <v>3.5250000000000057</v>
      </c>
      <c r="Q44" s="33">
        <f t="shared" si="9"/>
        <v>3.3740129217516207E-2</v>
      </c>
      <c r="R44" s="34" t="s">
        <v>68</v>
      </c>
      <c r="S44" s="35">
        <v>3870</v>
      </c>
    </row>
    <row r="45" spans="1:19" ht="17" thickBot="1">
      <c r="A45" s="229" t="s">
        <v>70</v>
      </c>
      <c r="B45" s="228"/>
      <c r="C45" s="25">
        <v>401.36</v>
      </c>
      <c r="D45" s="25">
        <v>45</v>
      </c>
      <c r="E45" s="43"/>
      <c r="F45" s="23">
        <v>417</v>
      </c>
      <c r="G45" s="27">
        <f t="shared" si="0"/>
        <v>446.36</v>
      </c>
      <c r="H45" s="28">
        <f t="shared" si="1"/>
        <v>6.5776503270902439E-2</v>
      </c>
      <c r="I45" s="45">
        <f t="shared" si="2"/>
        <v>0</v>
      </c>
      <c r="J45" s="45">
        <f t="shared" si="3"/>
        <v>0</v>
      </c>
      <c r="K45" s="25">
        <v>385</v>
      </c>
      <c r="L45" s="25">
        <f t="shared" si="4"/>
        <v>19.25</v>
      </c>
      <c r="M45" s="25">
        <f t="shared" si="5"/>
        <v>9.4340890760820889E-2</v>
      </c>
      <c r="N45" s="25">
        <f t="shared" si="6"/>
        <v>404.25</v>
      </c>
      <c r="O45" s="25">
        <f t="shared" si="7"/>
        <v>29.360000000000014</v>
      </c>
      <c r="P45" s="25">
        <f t="shared" si="8"/>
        <v>12.75</v>
      </c>
      <c r="Q45" s="29">
        <f t="shared" si="9"/>
        <v>3.1539888682745827E-2</v>
      </c>
      <c r="R45" s="30" t="s">
        <v>68</v>
      </c>
      <c r="S45" s="31">
        <v>3916</v>
      </c>
    </row>
    <row r="46" spans="1:19" ht="17" thickBot="1">
      <c r="A46" s="227" t="s">
        <v>71</v>
      </c>
      <c r="B46" s="228"/>
      <c r="C46" s="32">
        <v>29.95</v>
      </c>
      <c r="D46" s="32">
        <v>10</v>
      </c>
      <c r="E46" s="43"/>
      <c r="F46" s="23">
        <v>33</v>
      </c>
      <c r="G46" s="27">
        <f t="shared" si="0"/>
        <v>39.950000000000003</v>
      </c>
      <c r="H46" s="28">
        <f t="shared" si="1"/>
        <v>0.17396745932415525</v>
      </c>
      <c r="I46" s="44">
        <f t="shared" si="2"/>
        <v>0</v>
      </c>
      <c r="J46" s="44">
        <f t="shared" si="3"/>
        <v>0</v>
      </c>
      <c r="K46" s="32">
        <v>29.95</v>
      </c>
      <c r="L46" s="32">
        <f t="shared" si="4"/>
        <v>1.4975000000000001</v>
      </c>
      <c r="M46" s="32">
        <f t="shared" si="5"/>
        <v>0.21282853566958709</v>
      </c>
      <c r="N46" s="32">
        <f t="shared" si="6"/>
        <v>31.447499999999998</v>
      </c>
      <c r="O46" s="32">
        <f t="shared" si="7"/>
        <v>6.9500000000000028</v>
      </c>
      <c r="P46" s="32">
        <f t="shared" si="8"/>
        <v>1.552500000000002</v>
      </c>
      <c r="Q46" s="33">
        <f t="shared" si="9"/>
        <v>4.9367994276174644E-2</v>
      </c>
      <c r="R46" s="34" t="s">
        <v>68</v>
      </c>
      <c r="S46" s="35">
        <v>4631</v>
      </c>
    </row>
    <row r="47" spans="1:19" ht="17" thickBot="1">
      <c r="A47" s="229" t="s">
        <v>72</v>
      </c>
      <c r="B47" s="228"/>
      <c r="C47" s="25">
        <v>115.45</v>
      </c>
      <c r="D47" s="25">
        <v>28</v>
      </c>
      <c r="E47" s="43"/>
      <c r="F47" s="23">
        <v>125</v>
      </c>
      <c r="G47" s="27">
        <f t="shared" si="0"/>
        <v>143.44999999999999</v>
      </c>
      <c r="H47" s="28">
        <f t="shared" si="1"/>
        <v>0.12861624259323801</v>
      </c>
      <c r="I47" s="45">
        <f t="shared" si="2"/>
        <v>0</v>
      </c>
      <c r="J47" s="45">
        <f t="shared" si="3"/>
        <v>0</v>
      </c>
      <c r="K47" s="25">
        <v>115</v>
      </c>
      <c r="L47" s="25">
        <f t="shared" si="4"/>
        <v>5.75</v>
      </c>
      <c r="M47" s="25">
        <f t="shared" si="5"/>
        <v>0.1582432903450679</v>
      </c>
      <c r="N47" s="25">
        <f t="shared" si="6"/>
        <v>120.75</v>
      </c>
      <c r="O47" s="25">
        <f t="shared" si="7"/>
        <v>18.449999999999989</v>
      </c>
      <c r="P47" s="25">
        <f t="shared" si="8"/>
        <v>4.25</v>
      </c>
      <c r="Q47" s="29">
        <f t="shared" si="9"/>
        <v>3.5196687370600416E-2</v>
      </c>
      <c r="R47" s="30" t="s">
        <v>68</v>
      </c>
      <c r="S47" s="31">
        <v>3871</v>
      </c>
    </row>
    <row r="48" spans="1:19" ht="17" thickBot="1">
      <c r="A48" s="227" t="s">
        <v>73</v>
      </c>
      <c r="B48" s="228"/>
      <c r="C48" s="32">
        <v>516.86</v>
      </c>
      <c r="D48" s="32">
        <f>C48*0.1</f>
        <v>51.686000000000007</v>
      </c>
      <c r="E48" s="43"/>
      <c r="F48" s="23">
        <v>557</v>
      </c>
      <c r="G48" s="27">
        <f t="shared" si="0"/>
        <v>568.54600000000005</v>
      </c>
      <c r="H48" s="28">
        <f t="shared" si="1"/>
        <v>2.0307943420585225E-2</v>
      </c>
      <c r="I48" s="44">
        <f t="shared" si="2"/>
        <v>0</v>
      </c>
      <c r="J48" s="44">
        <f t="shared" si="3"/>
        <v>0</v>
      </c>
      <c r="K48" s="32">
        <v>515</v>
      </c>
      <c r="L48" s="32">
        <f t="shared" si="4"/>
        <v>25.75</v>
      </c>
      <c r="M48" s="32">
        <f t="shared" si="5"/>
        <v>4.8889623706788982E-2</v>
      </c>
      <c r="N48" s="32">
        <f t="shared" si="6"/>
        <v>540.75</v>
      </c>
      <c r="O48" s="32">
        <f t="shared" si="7"/>
        <v>11.546000000000049</v>
      </c>
      <c r="P48" s="32">
        <f t="shared" si="8"/>
        <v>16.25</v>
      </c>
      <c r="Q48" s="33">
        <f t="shared" si="9"/>
        <v>3.005085529357374E-2</v>
      </c>
      <c r="R48" s="34" t="s">
        <v>68</v>
      </c>
      <c r="S48" s="35">
        <v>4736</v>
      </c>
    </row>
    <row r="49" spans="1:19" ht="17" thickBot="1">
      <c r="A49" s="229" t="s">
        <v>74</v>
      </c>
      <c r="B49" s="228"/>
      <c r="C49" s="25">
        <v>34.5</v>
      </c>
      <c r="D49" s="25">
        <v>10</v>
      </c>
      <c r="E49" s="43"/>
      <c r="F49" s="23">
        <v>36</v>
      </c>
      <c r="G49" s="27">
        <f t="shared" si="0"/>
        <v>44.5</v>
      </c>
      <c r="H49" s="28">
        <f t="shared" si="1"/>
        <v>0.19101123595505617</v>
      </c>
      <c r="I49" s="45">
        <f t="shared" si="2"/>
        <v>0</v>
      </c>
      <c r="J49" s="45">
        <f t="shared" si="3"/>
        <v>0</v>
      </c>
      <c r="K49" s="25">
        <v>33</v>
      </c>
      <c r="L49" s="25">
        <f t="shared" si="4"/>
        <v>1.6500000000000001</v>
      </c>
      <c r="M49" s="25">
        <f t="shared" si="5"/>
        <v>0.22134831460674159</v>
      </c>
      <c r="N49" s="25">
        <f t="shared" si="6"/>
        <v>34.65</v>
      </c>
      <c r="O49" s="25">
        <f t="shared" si="7"/>
        <v>8.5</v>
      </c>
      <c r="P49" s="25">
        <f t="shared" si="8"/>
        <v>1.3500000000000014</v>
      </c>
      <c r="Q49" s="29">
        <f t="shared" si="9"/>
        <v>3.8961038961039002E-2</v>
      </c>
      <c r="R49" s="30" t="s">
        <v>68</v>
      </c>
      <c r="S49" s="31">
        <v>13195</v>
      </c>
    </row>
    <row r="50" spans="1:19" ht="17" thickBot="1">
      <c r="A50" s="227" t="s">
        <v>75</v>
      </c>
      <c r="B50" s="228"/>
      <c r="C50" s="32">
        <v>132.04</v>
      </c>
      <c r="D50" s="32">
        <v>28</v>
      </c>
      <c r="E50" s="43"/>
      <c r="F50" s="23">
        <v>130</v>
      </c>
      <c r="G50" s="27">
        <f t="shared" si="0"/>
        <v>160.04</v>
      </c>
      <c r="H50" s="28">
        <f t="shared" si="1"/>
        <v>0.18770307423144209</v>
      </c>
      <c r="I50" s="44">
        <f t="shared" si="2"/>
        <v>0</v>
      </c>
      <c r="J50" s="44">
        <f t="shared" si="3"/>
        <v>0</v>
      </c>
      <c r="K50" s="32">
        <v>120</v>
      </c>
      <c r="L50" s="32">
        <f t="shared" si="4"/>
        <v>6</v>
      </c>
      <c r="M50" s="32">
        <f t="shared" si="5"/>
        <v>0.21269682579355156</v>
      </c>
      <c r="N50" s="32">
        <f t="shared" si="6"/>
        <v>126</v>
      </c>
      <c r="O50" s="32">
        <f t="shared" si="7"/>
        <v>30.039999999999992</v>
      </c>
      <c r="P50" s="32">
        <f t="shared" si="8"/>
        <v>4</v>
      </c>
      <c r="Q50" s="33">
        <f t="shared" si="9"/>
        <v>3.1746031746031744E-2</v>
      </c>
      <c r="R50" s="34" t="s">
        <v>68</v>
      </c>
      <c r="S50" s="35">
        <v>11969</v>
      </c>
    </row>
    <row r="51" spans="1:19" ht="17" thickBot="1">
      <c r="A51" s="229" t="s">
        <v>76</v>
      </c>
      <c r="B51" s="228"/>
      <c r="C51" s="25">
        <v>24.35</v>
      </c>
      <c r="D51" s="25">
        <v>10</v>
      </c>
      <c r="E51" s="43"/>
      <c r="F51" s="23">
        <v>25</v>
      </c>
      <c r="G51" s="27">
        <f t="shared" si="0"/>
        <v>34.35</v>
      </c>
      <c r="H51" s="28">
        <f t="shared" si="1"/>
        <v>0.27219796215429404</v>
      </c>
      <c r="I51" s="45">
        <f t="shared" si="2"/>
        <v>0</v>
      </c>
      <c r="J51" s="45">
        <f t="shared" si="3"/>
        <v>0</v>
      </c>
      <c r="K51" s="25">
        <v>23</v>
      </c>
      <c r="L51" s="25">
        <f t="shared" si="4"/>
        <v>1.1500000000000001</v>
      </c>
      <c r="M51" s="25">
        <f t="shared" si="5"/>
        <v>0.29694323144104812</v>
      </c>
      <c r="N51" s="25">
        <f t="shared" si="6"/>
        <v>24.15</v>
      </c>
      <c r="O51" s="25">
        <f t="shared" si="7"/>
        <v>9.3500000000000014</v>
      </c>
      <c r="P51" s="25">
        <f t="shared" si="8"/>
        <v>0.85000000000000142</v>
      </c>
      <c r="Q51" s="29">
        <f t="shared" si="9"/>
        <v>3.5196687370600478E-2</v>
      </c>
      <c r="R51" s="30" t="s">
        <v>68</v>
      </c>
      <c r="S51" s="31">
        <v>3793</v>
      </c>
    </row>
    <row r="52" spans="1:19" ht="17" thickBot="1">
      <c r="A52" s="227" t="s">
        <v>77</v>
      </c>
      <c r="B52" s="228"/>
      <c r="C52" s="32">
        <v>79.5</v>
      </c>
      <c r="D52" s="32">
        <v>28</v>
      </c>
      <c r="E52" s="43"/>
      <c r="F52" s="23">
        <v>84</v>
      </c>
      <c r="G52" s="27">
        <f t="shared" si="0"/>
        <v>107.5</v>
      </c>
      <c r="H52" s="28">
        <f t="shared" si="1"/>
        <v>0.21860465116279071</v>
      </c>
      <c r="I52" s="44">
        <f t="shared" si="2"/>
        <v>0</v>
      </c>
      <c r="J52" s="44">
        <f t="shared" si="3"/>
        <v>0</v>
      </c>
      <c r="K52" s="32">
        <v>77</v>
      </c>
      <c r="L52" s="32">
        <f t="shared" si="4"/>
        <v>3.85</v>
      </c>
      <c r="M52" s="32">
        <f t="shared" si="5"/>
        <v>0.2479069767441861</v>
      </c>
      <c r="N52" s="32">
        <f t="shared" si="6"/>
        <v>80.849999999999994</v>
      </c>
      <c r="O52" s="32">
        <f t="shared" si="7"/>
        <v>23.5</v>
      </c>
      <c r="P52" s="32">
        <f t="shared" si="8"/>
        <v>3.1500000000000057</v>
      </c>
      <c r="Q52" s="33">
        <f t="shared" si="9"/>
        <v>3.8961038961039036E-2</v>
      </c>
      <c r="R52" s="34" t="s">
        <v>68</v>
      </c>
      <c r="S52" s="35">
        <v>3792</v>
      </c>
    </row>
    <row r="53" spans="1:19" ht="17" thickBot="1">
      <c r="A53" s="229" t="s">
        <v>78</v>
      </c>
      <c r="B53" s="228"/>
      <c r="C53" s="25">
        <v>23</v>
      </c>
      <c r="D53" s="25">
        <v>4</v>
      </c>
      <c r="E53" s="43"/>
      <c r="F53" s="23">
        <v>25</v>
      </c>
      <c r="G53" s="27">
        <f t="shared" si="0"/>
        <v>27</v>
      </c>
      <c r="H53" s="28">
        <f t="shared" si="1"/>
        <v>7.407407407407407E-2</v>
      </c>
      <c r="I53" s="45">
        <f t="shared" si="2"/>
        <v>0</v>
      </c>
      <c r="J53" s="45">
        <f t="shared" si="3"/>
        <v>0</v>
      </c>
      <c r="K53" s="25">
        <v>23</v>
      </c>
      <c r="L53" s="25">
        <f t="shared" si="4"/>
        <v>1.1500000000000001</v>
      </c>
      <c r="M53" s="25">
        <f t="shared" si="5"/>
        <v>0.10555555555555561</v>
      </c>
      <c r="N53" s="25">
        <f t="shared" si="6"/>
        <v>24.15</v>
      </c>
      <c r="O53" s="25">
        <f t="shared" si="7"/>
        <v>2</v>
      </c>
      <c r="P53" s="25">
        <f t="shared" si="8"/>
        <v>0.85000000000000142</v>
      </c>
      <c r="Q53" s="29">
        <f t="shared" si="9"/>
        <v>3.5196687370600478E-2</v>
      </c>
      <c r="R53" s="30" t="s">
        <v>68</v>
      </c>
      <c r="S53" s="31">
        <v>4073</v>
      </c>
    </row>
    <row r="54" spans="1:19" ht="17" thickBot="1">
      <c r="A54" s="227" t="s">
        <v>79</v>
      </c>
      <c r="B54" s="228"/>
      <c r="C54" s="32">
        <v>52</v>
      </c>
      <c r="D54" s="32">
        <v>10</v>
      </c>
      <c r="E54" s="43"/>
      <c r="F54" s="23">
        <v>57</v>
      </c>
      <c r="G54" s="27">
        <f t="shared" si="0"/>
        <v>62</v>
      </c>
      <c r="H54" s="28">
        <f t="shared" si="1"/>
        <v>8.0645161290322578E-2</v>
      </c>
      <c r="I54" s="44">
        <f t="shared" si="2"/>
        <v>0</v>
      </c>
      <c r="J54" s="44">
        <f t="shared" si="3"/>
        <v>0</v>
      </c>
      <c r="K54" s="32">
        <v>52</v>
      </c>
      <c r="L54" s="32">
        <f t="shared" si="4"/>
        <v>2.6</v>
      </c>
      <c r="M54" s="32">
        <f t="shared" si="5"/>
        <v>0.11935483870967739</v>
      </c>
      <c r="N54" s="32">
        <f t="shared" si="6"/>
        <v>54.6</v>
      </c>
      <c r="O54" s="32">
        <f t="shared" si="7"/>
        <v>5</v>
      </c>
      <c r="P54" s="32">
        <f t="shared" si="8"/>
        <v>2.3999999999999986</v>
      </c>
      <c r="Q54" s="33">
        <f t="shared" si="9"/>
        <v>4.3956043956043932E-2</v>
      </c>
      <c r="R54" s="34" t="s">
        <v>68</v>
      </c>
      <c r="S54" s="35">
        <v>3795</v>
      </c>
    </row>
    <row r="55" spans="1:19" ht="17" thickBot="1">
      <c r="A55" s="229" t="s">
        <v>80</v>
      </c>
      <c r="B55" s="228"/>
      <c r="C55" s="25">
        <v>240</v>
      </c>
      <c r="D55" s="25">
        <v>28</v>
      </c>
      <c r="E55" s="43"/>
      <c r="F55" s="23">
        <v>260</v>
      </c>
      <c r="G55" s="27">
        <f t="shared" si="0"/>
        <v>268</v>
      </c>
      <c r="H55" s="28">
        <f t="shared" si="1"/>
        <v>2.9850746268656716E-2</v>
      </c>
      <c r="I55" s="45">
        <f t="shared" si="2"/>
        <v>0</v>
      </c>
      <c r="J55" s="45">
        <f t="shared" si="3"/>
        <v>0</v>
      </c>
      <c r="K55" s="25">
        <v>240</v>
      </c>
      <c r="L55" s="25">
        <f t="shared" si="4"/>
        <v>12</v>
      </c>
      <c r="M55" s="25">
        <f t="shared" si="5"/>
        <v>5.9701492537313432E-2</v>
      </c>
      <c r="N55" s="25">
        <f t="shared" si="6"/>
        <v>252</v>
      </c>
      <c r="O55" s="25">
        <f t="shared" si="7"/>
        <v>8</v>
      </c>
      <c r="P55" s="25">
        <f t="shared" si="8"/>
        <v>8</v>
      </c>
      <c r="Q55" s="29">
        <f t="shared" si="9"/>
        <v>3.1746031746031744E-2</v>
      </c>
      <c r="R55" s="30" t="s">
        <v>68</v>
      </c>
      <c r="S55" s="31">
        <v>3694</v>
      </c>
    </row>
    <row r="56" spans="1:19" ht="15" customHeight="1" thickBot="1">
      <c r="A56" s="238" t="s">
        <v>81</v>
      </c>
      <c r="B56" s="232"/>
      <c r="C56" s="46"/>
      <c r="D56" s="46"/>
      <c r="E56" s="22"/>
      <c r="F56" s="23"/>
      <c r="G56" s="24"/>
      <c r="H56" s="28"/>
      <c r="I56" s="238"/>
      <c r="J56" s="232"/>
      <c r="K56" s="238"/>
      <c r="L56" s="232"/>
      <c r="M56" s="238"/>
      <c r="N56" s="232"/>
      <c r="O56" s="238"/>
      <c r="P56" s="232"/>
      <c r="Q56" s="238"/>
      <c r="R56" s="232"/>
      <c r="S56" s="153"/>
    </row>
    <row r="57" spans="1:19" s="141" customFormat="1" ht="35" customHeight="1" thickBot="1">
      <c r="A57" s="239" t="s">
        <v>423</v>
      </c>
      <c r="B57" s="240"/>
      <c r="C57" s="51">
        <v>47.95</v>
      </c>
      <c r="D57" s="51">
        <f t="shared" ref="D57:D65" si="10">C57*0.1</f>
        <v>4.7950000000000008</v>
      </c>
      <c r="E57" s="133"/>
      <c r="F57" s="134">
        <v>49</v>
      </c>
      <c r="G57" s="135">
        <f t="shared" ref="G57:G63" si="11">C57+D57</f>
        <v>52.745000000000005</v>
      </c>
      <c r="H57" s="136">
        <f t="shared" ref="H57:H63" si="12">O57/G57</f>
        <v>7.1001990710019988E-2</v>
      </c>
      <c r="I57" s="137">
        <f t="shared" ref="I57:I71" si="13">F57*E57</f>
        <v>0</v>
      </c>
      <c r="J57" s="137">
        <f t="shared" ref="J57:J63" si="14">(G57-F57)*E57</f>
        <v>0</v>
      </c>
      <c r="K57" s="51">
        <v>45</v>
      </c>
      <c r="L57" s="51">
        <f t="shared" ref="L57:L71" si="15">K57*0.05</f>
        <v>2.25</v>
      </c>
      <c r="M57" s="51">
        <f t="shared" ref="M57:M71" si="16">(G57-N57)/G57</f>
        <v>0.10418049104180499</v>
      </c>
      <c r="N57" s="51">
        <f t="shared" ref="N57:N71" si="17">K57+L57</f>
        <v>47.25</v>
      </c>
      <c r="O57" s="51">
        <f t="shared" ref="O57:O71" si="18">G57-F57</f>
        <v>3.7450000000000045</v>
      </c>
      <c r="P57" s="51">
        <f t="shared" ref="P57:P71" si="19">F57-N57</f>
        <v>1.75</v>
      </c>
      <c r="Q57" s="138">
        <f t="shared" ref="Q57:Q71" si="20">P57/N57</f>
        <v>3.7037037037037035E-2</v>
      </c>
      <c r="R57" s="139" t="s">
        <v>68</v>
      </c>
      <c r="S57" s="140">
        <v>4332</v>
      </c>
    </row>
    <row r="58" spans="1:19" s="141" customFormat="1" ht="33" customHeight="1" thickBot="1">
      <c r="A58" s="258" t="s">
        <v>424</v>
      </c>
      <c r="B58" s="240"/>
      <c r="C58" s="85">
        <v>27.5</v>
      </c>
      <c r="D58" s="85">
        <f t="shared" si="10"/>
        <v>2.75</v>
      </c>
      <c r="E58" s="133"/>
      <c r="F58" s="134">
        <v>30</v>
      </c>
      <c r="G58" s="135">
        <f t="shared" si="11"/>
        <v>30.25</v>
      </c>
      <c r="H58" s="136">
        <f t="shared" si="12"/>
        <v>8.2644628099173556E-3</v>
      </c>
      <c r="I58" s="142">
        <f t="shared" si="13"/>
        <v>0</v>
      </c>
      <c r="J58" s="142">
        <f t="shared" si="14"/>
        <v>0</v>
      </c>
      <c r="K58" s="85">
        <v>27.5</v>
      </c>
      <c r="L58" s="85">
        <f t="shared" si="15"/>
        <v>1.375</v>
      </c>
      <c r="M58" s="85">
        <f t="shared" si="16"/>
        <v>4.5454545454545456E-2</v>
      </c>
      <c r="N58" s="85">
        <f t="shared" si="17"/>
        <v>28.875</v>
      </c>
      <c r="O58" s="85">
        <f t="shared" si="18"/>
        <v>0.25</v>
      </c>
      <c r="P58" s="85">
        <f t="shared" si="19"/>
        <v>1.125</v>
      </c>
      <c r="Q58" s="143">
        <f t="shared" si="20"/>
        <v>3.896103896103896E-2</v>
      </c>
      <c r="R58" s="144" t="s">
        <v>68</v>
      </c>
      <c r="S58" s="145">
        <v>4920</v>
      </c>
    </row>
    <row r="59" spans="1:19" s="141" customFormat="1" ht="49" customHeight="1" thickBot="1">
      <c r="A59" s="239" t="s">
        <v>425</v>
      </c>
      <c r="B59" s="240"/>
      <c r="C59" s="51">
        <v>37</v>
      </c>
      <c r="D59" s="51">
        <f t="shared" si="10"/>
        <v>3.7</v>
      </c>
      <c r="E59" s="133"/>
      <c r="F59" s="134">
        <v>24</v>
      </c>
      <c r="G59" s="135">
        <f t="shared" si="11"/>
        <v>40.700000000000003</v>
      </c>
      <c r="H59" s="136">
        <f t="shared" si="12"/>
        <v>0.41031941031941038</v>
      </c>
      <c r="I59" s="137">
        <f t="shared" si="13"/>
        <v>0</v>
      </c>
      <c r="J59" s="137">
        <f t="shared" si="14"/>
        <v>0</v>
      </c>
      <c r="K59" s="51">
        <v>22</v>
      </c>
      <c r="L59" s="51">
        <f t="shared" si="15"/>
        <v>1.1000000000000001</v>
      </c>
      <c r="M59" s="51">
        <f t="shared" si="16"/>
        <v>0.43243243243243246</v>
      </c>
      <c r="N59" s="51">
        <f t="shared" si="17"/>
        <v>23.1</v>
      </c>
      <c r="O59" s="51">
        <f t="shared" si="18"/>
        <v>16.700000000000003</v>
      </c>
      <c r="P59" s="51">
        <f t="shared" si="19"/>
        <v>0.89999999999999858</v>
      </c>
      <c r="Q59" s="138">
        <f t="shared" si="20"/>
        <v>3.8961038961038898E-2</v>
      </c>
      <c r="R59" s="139" t="s">
        <v>68</v>
      </c>
      <c r="S59" s="140">
        <v>4895</v>
      </c>
    </row>
    <row r="60" spans="1:19" s="141" customFormat="1" ht="34" customHeight="1" thickBot="1">
      <c r="A60" s="227" t="s">
        <v>426</v>
      </c>
      <c r="B60" s="257"/>
      <c r="C60" s="85">
        <v>29.75</v>
      </c>
      <c r="D60" s="85">
        <f t="shared" si="10"/>
        <v>2.9750000000000001</v>
      </c>
      <c r="E60" s="133"/>
      <c r="F60" s="134">
        <v>30</v>
      </c>
      <c r="G60" s="135">
        <f t="shared" si="11"/>
        <v>32.725000000000001</v>
      </c>
      <c r="H60" s="136">
        <f t="shared" si="12"/>
        <v>8.3269671504965656E-2</v>
      </c>
      <c r="I60" s="142">
        <f t="shared" si="13"/>
        <v>0</v>
      </c>
      <c r="J60" s="142">
        <f t="shared" si="14"/>
        <v>0</v>
      </c>
      <c r="K60" s="85">
        <v>27.5</v>
      </c>
      <c r="L60" s="85">
        <f t="shared" si="15"/>
        <v>1.375</v>
      </c>
      <c r="M60" s="85">
        <f t="shared" si="16"/>
        <v>0.11764705882352945</v>
      </c>
      <c r="N60" s="85">
        <f t="shared" si="17"/>
        <v>28.875</v>
      </c>
      <c r="O60" s="85">
        <f t="shared" si="18"/>
        <v>2.7250000000000014</v>
      </c>
      <c r="P60" s="85">
        <f t="shared" si="19"/>
        <v>1.125</v>
      </c>
      <c r="Q60" s="143">
        <f t="shared" si="20"/>
        <v>3.896103896103896E-2</v>
      </c>
      <c r="R60" s="144" t="s">
        <v>68</v>
      </c>
      <c r="S60" s="145">
        <v>10345</v>
      </c>
    </row>
    <row r="61" spans="1:19" s="141" customFormat="1" ht="17" thickBot="1">
      <c r="A61" s="50" t="s">
        <v>82</v>
      </c>
      <c r="B61" s="51"/>
      <c r="C61" s="51">
        <v>25</v>
      </c>
      <c r="D61" s="51">
        <f t="shared" si="10"/>
        <v>2.5</v>
      </c>
      <c r="E61" s="133"/>
      <c r="F61" s="134">
        <v>25</v>
      </c>
      <c r="G61" s="135">
        <f t="shared" si="11"/>
        <v>27.5</v>
      </c>
      <c r="H61" s="136">
        <f t="shared" si="12"/>
        <v>9.0909090909090912E-2</v>
      </c>
      <c r="I61" s="137">
        <f t="shared" si="13"/>
        <v>0</v>
      </c>
      <c r="J61" s="137">
        <f t="shared" si="14"/>
        <v>0</v>
      </c>
      <c r="K61" s="51">
        <v>22.5</v>
      </c>
      <c r="L61" s="51">
        <f t="shared" si="15"/>
        <v>1.125</v>
      </c>
      <c r="M61" s="51">
        <f t="shared" si="16"/>
        <v>0.1409090909090909</v>
      </c>
      <c r="N61" s="51">
        <f t="shared" si="17"/>
        <v>23.625</v>
      </c>
      <c r="O61" s="51">
        <f t="shared" si="18"/>
        <v>2.5</v>
      </c>
      <c r="P61" s="51">
        <f t="shared" si="19"/>
        <v>1.375</v>
      </c>
      <c r="Q61" s="138">
        <f t="shared" si="20"/>
        <v>5.8201058201058198E-2</v>
      </c>
      <c r="R61" s="139" t="s">
        <v>68</v>
      </c>
      <c r="S61" s="140">
        <v>2399</v>
      </c>
    </row>
    <row r="62" spans="1:19" s="141" customFormat="1" ht="49" customHeight="1" thickBot="1">
      <c r="A62" s="227" t="s">
        <v>427</v>
      </c>
      <c r="B62" s="257"/>
      <c r="C62" s="85">
        <v>79.5</v>
      </c>
      <c r="D62" s="85">
        <f t="shared" si="10"/>
        <v>7.95</v>
      </c>
      <c r="E62" s="133"/>
      <c r="F62" s="134">
        <v>74</v>
      </c>
      <c r="G62" s="135">
        <f t="shared" si="11"/>
        <v>87.45</v>
      </c>
      <c r="H62" s="136">
        <f t="shared" si="12"/>
        <v>0.15380217267009721</v>
      </c>
      <c r="I62" s="142">
        <f t="shared" si="13"/>
        <v>0</v>
      </c>
      <c r="J62" s="142">
        <f t="shared" si="14"/>
        <v>0</v>
      </c>
      <c r="K62" s="85">
        <v>67.5</v>
      </c>
      <c r="L62" s="85">
        <f t="shared" si="15"/>
        <v>3.375</v>
      </c>
      <c r="M62" s="85">
        <f t="shared" si="16"/>
        <v>0.18953687821612353</v>
      </c>
      <c r="N62" s="85">
        <f t="shared" si="17"/>
        <v>70.875</v>
      </c>
      <c r="O62" s="85">
        <f t="shared" si="18"/>
        <v>13.450000000000003</v>
      </c>
      <c r="P62" s="85">
        <f t="shared" si="19"/>
        <v>3.125</v>
      </c>
      <c r="Q62" s="143">
        <f t="shared" si="20"/>
        <v>4.4091710758377423E-2</v>
      </c>
      <c r="R62" s="144" t="s">
        <v>68</v>
      </c>
      <c r="S62" s="145">
        <v>3164</v>
      </c>
    </row>
    <row r="63" spans="1:19" s="141" customFormat="1" ht="52" customHeight="1" thickBot="1">
      <c r="A63" s="241" t="s">
        <v>449</v>
      </c>
      <c r="B63" s="257"/>
      <c r="C63" s="51">
        <v>45</v>
      </c>
      <c r="D63" s="51">
        <f t="shared" si="10"/>
        <v>4.5</v>
      </c>
      <c r="E63" s="133"/>
      <c r="F63" s="134">
        <v>49</v>
      </c>
      <c r="G63" s="135">
        <f t="shared" si="11"/>
        <v>49.5</v>
      </c>
      <c r="H63" s="136">
        <f t="shared" si="12"/>
        <v>1.0101010101010102E-2</v>
      </c>
      <c r="I63" s="137">
        <f t="shared" si="13"/>
        <v>0</v>
      </c>
      <c r="J63" s="137">
        <f t="shared" si="14"/>
        <v>0</v>
      </c>
      <c r="K63" s="51">
        <v>45</v>
      </c>
      <c r="L63" s="51">
        <f t="shared" si="15"/>
        <v>2.25</v>
      </c>
      <c r="M63" s="51">
        <f t="shared" si="16"/>
        <v>4.5454545454545456E-2</v>
      </c>
      <c r="N63" s="51">
        <f t="shared" si="17"/>
        <v>47.25</v>
      </c>
      <c r="O63" s="51">
        <f t="shared" si="18"/>
        <v>0.5</v>
      </c>
      <c r="P63" s="51">
        <f t="shared" si="19"/>
        <v>1.75</v>
      </c>
      <c r="Q63" s="138">
        <f t="shared" si="20"/>
        <v>3.7037037037037035E-2</v>
      </c>
      <c r="R63" s="139" t="s">
        <v>68</v>
      </c>
      <c r="S63" s="140">
        <v>5117</v>
      </c>
    </row>
    <row r="64" spans="1:19" s="141" customFormat="1" ht="17" thickBot="1">
      <c r="A64" s="243" t="s">
        <v>83</v>
      </c>
      <c r="B64" s="257"/>
      <c r="C64" s="85">
        <v>5.8</v>
      </c>
      <c r="D64" s="85">
        <f t="shared" si="10"/>
        <v>0.57999999999999996</v>
      </c>
      <c r="E64" s="133"/>
      <c r="F64" s="134">
        <f>(N64*1.03)</f>
        <v>6.2727000000000004</v>
      </c>
      <c r="G64" s="135" t="s">
        <v>39</v>
      </c>
      <c r="H64" s="136"/>
      <c r="I64" s="142">
        <f t="shared" si="13"/>
        <v>0</v>
      </c>
      <c r="J64" s="142"/>
      <c r="K64" s="85">
        <v>5.8</v>
      </c>
      <c r="L64" s="85">
        <f t="shared" si="15"/>
        <v>0.28999999999999998</v>
      </c>
      <c r="M64" s="85" t="e">
        <f t="shared" si="16"/>
        <v>#VALUE!</v>
      </c>
      <c r="N64" s="85">
        <f t="shared" si="17"/>
        <v>6.09</v>
      </c>
      <c r="O64" s="85" t="e">
        <f t="shared" si="18"/>
        <v>#VALUE!</v>
      </c>
      <c r="P64" s="85">
        <f t="shared" si="19"/>
        <v>0.18270000000000053</v>
      </c>
      <c r="Q64" s="143">
        <f t="shared" si="20"/>
        <v>3.0000000000000089E-2</v>
      </c>
      <c r="R64" s="144" t="s">
        <v>68</v>
      </c>
      <c r="S64" s="145">
        <v>4798</v>
      </c>
    </row>
    <row r="65" spans="1:19" s="141" customFormat="1" ht="17" thickBot="1">
      <c r="A65" s="241" t="s">
        <v>84</v>
      </c>
      <c r="B65" s="257"/>
      <c r="C65" s="51">
        <v>8</v>
      </c>
      <c r="D65" s="51">
        <f t="shared" si="10"/>
        <v>0.8</v>
      </c>
      <c r="E65" s="133"/>
      <c r="F65" s="134">
        <f>(N65*1.03)</f>
        <v>8.652000000000001</v>
      </c>
      <c r="G65" s="135" t="s">
        <v>39</v>
      </c>
      <c r="H65" s="136"/>
      <c r="I65" s="137">
        <f t="shared" si="13"/>
        <v>0</v>
      </c>
      <c r="J65" s="137"/>
      <c r="K65" s="51">
        <v>8</v>
      </c>
      <c r="L65" s="51">
        <f t="shared" si="15"/>
        <v>0.4</v>
      </c>
      <c r="M65" s="51" t="e">
        <f t="shared" si="16"/>
        <v>#VALUE!</v>
      </c>
      <c r="N65" s="51">
        <f t="shared" si="17"/>
        <v>8.4</v>
      </c>
      <c r="O65" s="51" t="e">
        <f t="shared" si="18"/>
        <v>#VALUE!</v>
      </c>
      <c r="P65" s="51">
        <f t="shared" si="19"/>
        <v>0.25200000000000067</v>
      </c>
      <c r="Q65" s="138">
        <f t="shared" si="20"/>
        <v>3.0000000000000079E-2</v>
      </c>
      <c r="R65" s="139" t="s">
        <v>68</v>
      </c>
      <c r="S65" s="140">
        <v>3515</v>
      </c>
    </row>
    <row r="66" spans="1:19" s="141" customFormat="1" ht="17" thickBot="1">
      <c r="A66" s="243" t="s">
        <v>85</v>
      </c>
      <c r="B66" s="257"/>
      <c r="C66" s="85">
        <v>35.5</v>
      </c>
      <c r="D66" s="85">
        <f>1/2*30</f>
        <v>15</v>
      </c>
      <c r="E66" s="133"/>
      <c r="F66" s="134">
        <v>37</v>
      </c>
      <c r="G66" s="135">
        <f t="shared" ref="G66:G71" si="21">C66+D66</f>
        <v>50.5</v>
      </c>
      <c r="H66" s="136">
        <f t="shared" ref="H66:H71" si="22">O66/G66</f>
        <v>0.26732673267326734</v>
      </c>
      <c r="I66" s="142">
        <f t="shared" si="13"/>
        <v>0</v>
      </c>
      <c r="J66" s="142">
        <f t="shared" ref="J66:J71" si="23">(G66-F66)*E66</f>
        <v>0</v>
      </c>
      <c r="K66" s="85">
        <v>33.5</v>
      </c>
      <c r="L66" s="85">
        <f t="shared" si="15"/>
        <v>1.675</v>
      </c>
      <c r="M66" s="85">
        <f t="shared" si="16"/>
        <v>0.30346534653465351</v>
      </c>
      <c r="N66" s="85">
        <f t="shared" si="17"/>
        <v>35.174999999999997</v>
      </c>
      <c r="O66" s="85">
        <f t="shared" si="18"/>
        <v>13.5</v>
      </c>
      <c r="P66" s="85">
        <f t="shared" si="19"/>
        <v>1.8250000000000028</v>
      </c>
      <c r="Q66" s="143">
        <f t="shared" si="20"/>
        <v>5.188343994314152E-2</v>
      </c>
      <c r="R66" s="144" t="s">
        <v>68</v>
      </c>
      <c r="S66" s="145">
        <v>4400</v>
      </c>
    </row>
    <row r="67" spans="1:19" s="141" customFormat="1" ht="17" thickBot="1">
      <c r="A67" s="241" t="s">
        <v>86</v>
      </c>
      <c r="B67" s="257"/>
      <c r="C67" s="51">
        <v>43.25</v>
      </c>
      <c r="D67" s="51"/>
      <c r="E67" s="133"/>
      <c r="F67" s="134">
        <v>37</v>
      </c>
      <c r="G67" s="135">
        <f t="shared" si="21"/>
        <v>43.25</v>
      </c>
      <c r="H67" s="136">
        <f t="shared" si="22"/>
        <v>0.14450867052023122</v>
      </c>
      <c r="I67" s="137">
        <f t="shared" si="13"/>
        <v>0</v>
      </c>
      <c r="J67" s="137">
        <f t="shared" si="23"/>
        <v>0</v>
      </c>
      <c r="K67" s="51">
        <v>33.5</v>
      </c>
      <c r="L67" s="51">
        <f t="shared" si="15"/>
        <v>1.675</v>
      </c>
      <c r="M67" s="51">
        <f t="shared" si="16"/>
        <v>0.1867052023121388</v>
      </c>
      <c r="N67" s="51">
        <f t="shared" si="17"/>
        <v>35.174999999999997</v>
      </c>
      <c r="O67" s="51">
        <f t="shared" si="18"/>
        <v>6.25</v>
      </c>
      <c r="P67" s="51">
        <f t="shared" si="19"/>
        <v>1.8250000000000028</v>
      </c>
      <c r="Q67" s="138">
        <f t="shared" si="20"/>
        <v>5.188343994314152E-2</v>
      </c>
      <c r="R67" s="139" t="s">
        <v>68</v>
      </c>
      <c r="S67" s="140">
        <v>4573</v>
      </c>
    </row>
    <row r="68" spans="1:19" s="141" customFormat="1" ht="34" customHeight="1" thickBot="1">
      <c r="A68" s="227" t="s">
        <v>428</v>
      </c>
      <c r="B68" s="257"/>
      <c r="C68" s="85">
        <v>15.5</v>
      </c>
      <c r="D68" s="85">
        <v>15</v>
      </c>
      <c r="E68" s="133"/>
      <c r="F68" s="134">
        <v>17</v>
      </c>
      <c r="G68" s="135">
        <f t="shared" si="21"/>
        <v>30.5</v>
      </c>
      <c r="H68" s="136">
        <f t="shared" si="22"/>
        <v>0.44262295081967212</v>
      </c>
      <c r="I68" s="142">
        <f t="shared" si="13"/>
        <v>0</v>
      </c>
      <c r="J68" s="142">
        <f t="shared" si="23"/>
        <v>0</v>
      </c>
      <c r="K68" s="85">
        <v>15</v>
      </c>
      <c r="L68" s="85">
        <f t="shared" si="15"/>
        <v>0.75</v>
      </c>
      <c r="M68" s="85">
        <f t="shared" si="16"/>
        <v>0.48360655737704916</v>
      </c>
      <c r="N68" s="85">
        <f t="shared" si="17"/>
        <v>15.75</v>
      </c>
      <c r="O68" s="85">
        <f t="shared" si="18"/>
        <v>13.5</v>
      </c>
      <c r="P68" s="85">
        <f t="shared" si="19"/>
        <v>1.25</v>
      </c>
      <c r="Q68" s="143">
        <f t="shared" si="20"/>
        <v>7.9365079365079361E-2</v>
      </c>
      <c r="R68" s="144" t="s">
        <v>68</v>
      </c>
      <c r="S68" s="145">
        <v>13023</v>
      </c>
    </row>
    <row r="69" spans="1:19" s="141" customFormat="1" ht="62" customHeight="1" thickBot="1">
      <c r="A69" s="229" t="s">
        <v>429</v>
      </c>
      <c r="B69" s="257"/>
      <c r="C69" s="51">
        <v>27</v>
      </c>
      <c r="D69" s="51">
        <f>C69*0.1</f>
        <v>2.7</v>
      </c>
      <c r="E69" s="133"/>
      <c r="F69" s="134">
        <f>(N69*1.03)</f>
        <v>29.200500000000002</v>
      </c>
      <c r="G69" s="135">
        <f t="shared" si="21"/>
        <v>29.7</v>
      </c>
      <c r="H69" s="136">
        <f t="shared" si="22"/>
        <v>1.6818181818181739E-2</v>
      </c>
      <c r="I69" s="137">
        <f t="shared" si="13"/>
        <v>0</v>
      </c>
      <c r="J69" s="137">
        <f t="shared" si="23"/>
        <v>0</v>
      </c>
      <c r="K69" s="51">
        <v>27</v>
      </c>
      <c r="L69" s="51">
        <f t="shared" si="15"/>
        <v>1.35</v>
      </c>
      <c r="M69" s="51">
        <f t="shared" si="16"/>
        <v>4.5454545454545386E-2</v>
      </c>
      <c r="N69" s="51">
        <f t="shared" si="17"/>
        <v>28.35</v>
      </c>
      <c r="O69" s="51">
        <f t="shared" si="18"/>
        <v>0.49949999999999761</v>
      </c>
      <c r="P69" s="51">
        <f t="shared" si="19"/>
        <v>0.85050000000000026</v>
      </c>
      <c r="Q69" s="138">
        <f t="shared" si="20"/>
        <v>3.0000000000000006E-2</v>
      </c>
      <c r="R69" s="139" t="s">
        <v>68</v>
      </c>
      <c r="S69" s="140">
        <v>3744</v>
      </c>
    </row>
    <row r="70" spans="1:19" s="141" customFormat="1" ht="81" customHeight="1" thickBot="1">
      <c r="A70" s="227" t="s">
        <v>430</v>
      </c>
      <c r="B70" s="257"/>
      <c r="C70" s="85">
        <v>33.25</v>
      </c>
      <c r="D70" s="85">
        <f>C70*0.1</f>
        <v>3.3250000000000002</v>
      </c>
      <c r="E70" s="133"/>
      <c r="F70" s="134">
        <v>29</v>
      </c>
      <c r="G70" s="135">
        <f t="shared" si="21"/>
        <v>36.575000000000003</v>
      </c>
      <c r="H70" s="136">
        <f t="shared" si="22"/>
        <v>0.20710868079289138</v>
      </c>
      <c r="I70" s="142">
        <f t="shared" si="13"/>
        <v>0</v>
      </c>
      <c r="J70" s="142">
        <f t="shared" si="23"/>
        <v>0</v>
      </c>
      <c r="K70" s="85">
        <v>26.5</v>
      </c>
      <c r="L70" s="85">
        <f t="shared" si="15"/>
        <v>1.3250000000000002</v>
      </c>
      <c r="M70" s="85">
        <f t="shared" si="16"/>
        <v>0.23923444976076563</v>
      </c>
      <c r="N70" s="85">
        <f t="shared" si="17"/>
        <v>27.824999999999999</v>
      </c>
      <c r="O70" s="85">
        <f t="shared" si="18"/>
        <v>7.5750000000000028</v>
      </c>
      <c r="P70" s="85">
        <f t="shared" si="19"/>
        <v>1.1750000000000007</v>
      </c>
      <c r="Q70" s="143">
        <f t="shared" si="20"/>
        <v>4.2228212039532823E-2</v>
      </c>
      <c r="R70" s="144" t="s">
        <v>68</v>
      </c>
      <c r="S70" s="145">
        <v>5118</v>
      </c>
    </row>
    <row r="71" spans="1:19" s="141" customFormat="1" ht="48" customHeight="1">
      <c r="A71" s="229" t="s">
        <v>431</v>
      </c>
      <c r="B71" s="257"/>
      <c r="C71" s="51">
        <v>18.25</v>
      </c>
      <c r="D71" s="51">
        <v>15</v>
      </c>
      <c r="E71" s="146"/>
      <c r="F71" s="134">
        <v>21</v>
      </c>
      <c r="G71" s="135">
        <f t="shared" si="21"/>
        <v>33.25</v>
      </c>
      <c r="H71" s="136">
        <f t="shared" si="22"/>
        <v>0.36842105263157893</v>
      </c>
      <c r="I71" s="137">
        <f t="shared" si="13"/>
        <v>0</v>
      </c>
      <c r="J71" s="137">
        <f t="shared" si="23"/>
        <v>0</v>
      </c>
      <c r="K71" s="51">
        <v>19</v>
      </c>
      <c r="L71" s="51">
        <f t="shared" si="15"/>
        <v>0.95000000000000007</v>
      </c>
      <c r="M71" s="51">
        <f t="shared" si="16"/>
        <v>0.4</v>
      </c>
      <c r="N71" s="51">
        <f t="shared" si="17"/>
        <v>19.95</v>
      </c>
      <c r="O71" s="51">
        <f t="shared" si="18"/>
        <v>12.25</v>
      </c>
      <c r="P71" s="51">
        <f t="shared" si="19"/>
        <v>1.0500000000000007</v>
      </c>
      <c r="Q71" s="138">
        <f t="shared" si="20"/>
        <v>5.263157894736846E-2</v>
      </c>
      <c r="R71" s="139" t="s">
        <v>68</v>
      </c>
      <c r="S71" s="140">
        <v>3517</v>
      </c>
    </row>
    <row r="72" spans="1:19" ht="90" customHeight="1">
      <c r="A72" s="223"/>
      <c r="B72" s="223"/>
      <c r="C72" s="223"/>
      <c r="D72" s="223"/>
      <c r="E72" s="223"/>
      <c r="F72" s="223"/>
      <c r="G72" s="223"/>
      <c r="H72" s="223"/>
      <c r="I72" s="223"/>
      <c r="J72" s="223"/>
      <c r="K72" s="223"/>
      <c r="L72" s="223"/>
      <c r="M72" s="223"/>
      <c r="N72" s="223"/>
      <c r="O72" s="223"/>
      <c r="P72" s="223"/>
      <c r="Q72" s="223"/>
      <c r="R72" s="223"/>
      <c r="S72" s="224"/>
    </row>
    <row r="73" spans="1:19" ht="32" customHeight="1" thickBot="1">
      <c r="A73" s="241" t="s">
        <v>87</v>
      </c>
      <c r="B73" s="228"/>
      <c r="C73" s="25"/>
      <c r="D73" s="53">
        <v>-40</v>
      </c>
      <c r="E73" s="54"/>
      <c r="F73" s="55">
        <v>-50</v>
      </c>
      <c r="G73" s="27"/>
      <c r="H73" s="28"/>
      <c r="I73" s="45">
        <f t="shared" ref="I73:I85" si="24">F73*E73</f>
        <v>0</v>
      </c>
      <c r="J73" s="45">
        <f>-600*E73</f>
        <v>0</v>
      </c>
      <c r="K73" s="25"/>
      <c r="L73" s="25"/>
      <c r="M73" s="25"/>
      <c r="N73" s="25"/>
      <c r="O73" s="25"/>
      <c r="P73" s="25"/>
      <c r="Q73" s="29"/>
      <c r="R73" s="30" t="s">
        <v>88</v>
      </c>
      <c r="S73" s="31"/>
    </row>
    <row r="74" spans="1:19" ht="17" thickBot="1">
      <c r="A74" s="227" t="s">
        <v>89</v>
      </c>
      <c r="B74" s="228"/>
      <c r="C74" s="32">
        <v>23</v>
      </c>
      <c r="D74" s="52">
        <v>20</v>
      </c>
      <c r="E74" s="49"/>
      <c r="F74" s="23">
        <v>28</v>
      </c>
      <c r="G74" s="27">
        <f t="shared" ref="G74:G85" si="25">C74+D74</f>
        <v>43</v>
      </c>
      <c r="H74" s="28">
        <f t="shared" ref="H74:H85" si="26">O74/G74</f>
        <v>0.34883720930232559</v>
      </c>
      <c r="I74" s="44">
        <f t="shared" si="24"/>
        <v>0</v>
      </c>
      <c r="J74" s="44">
        <f t="shared" ref="J74:J85" si="27">(G74-F74)*E74</f>
        <v>0</v>
      </c>
      <c r="K74" s="32">
        <v>21</v>
      </c>
      <c r="L74" s="32">
        <f t="shared" ref="L74:L85" si="28">150/30</f>
        <v>5</v>
      </c>
      <c r="M74" s="33">
        <f t="shared" ref="M74:M85" si="29">(G74-(L74+K74))/G74</f>
        <v>0.39534883720930231</v>
      </c>
      <c r="N74" s="32">
        <f t="shared" ref="N74:N85" si="30">K74+L74</f>
        <v>26</v>
      </c>
      <c r="O74" s="32">
        <f t="shared" ref="O74:O85" si="31">G74-F74</f>
        <v>15</v>
      </c>
      <c r="P74" s="32">
        <f t="shared" ref="P74:P85" si="32">F74-N74</f>
        <v>2</v>
      </c>
      <c r="Q74" s="33">
        <f t="shared" ref="Q74:Q85" si="33">P74/N74</f>
        <v>7.6923076923076927E-2</v>
      </c>
      <c r="R74" s="34" t="s">
        <v>88</v>
      </c>
      <c r="S74" s="35" t="s">
        <v>90</v>
      </c>
    </row>
    <row r="75" spans="1:19" ht="17" thickBot="1">
      <c r="A75" s="229" t="s">
        <v>91</v>
      </c>
      <c r="B75" s="228"/>
      <c r="C75" s="25">
        <v>30</v>
      </c>
      <c r="D75" s="53">
        <v>20</v>
      </c>
      <c r="E75" s="49"/>
      <c r="F75" s="23">
        <v>35</v>
      </c>
      <c r="G75" s="27">
        <f t="shared" si="25"/>
        <v>50</v>
      </c>
      <c r="H75" s="28">
        <f t="shared" si="26"/>
        <v>0.3</v>
      </c>
      <c r="I75" s="45">
        <f t="shared" si="24"/>
        <v>0</v>
      </c>
      <c r="J75" s="45">
        <f t="shared" si="27"/>
        <v>0</v>
      </c>
      <c r="K75" s="25">
        <v>28</v>
      </c>
      <c r="L75" s="25">
        <f t="shared" si="28"/>
        <v>5</v>
      </c>
      <c r="M75" s="29">
        <f t="shared" si="29"/>
        <v>0.34</v>
      </c>
      <c r="N75" s="25">
        <f t="shared" si="30"/>
        <v>33</v>
      </c>
      <c r="O75" s="25">
        <f t="shared" si="31"/>
        <v>15</v>
      </c>
      <c r="P75" s="25">
        <f t="shared" si="32"/>
        <v>2</v>
      </c>
      <c r="Q75" s="29">
        <f t="shared" si="33"/>
        <v>6.0606060606060608E-2</v>
      </c>
      <c r="R75" s="30" t="s">
        <v>88</v>
      </c>
      <c r="S75" s="31" t="s">
        <v>92</v>
      </c>
    </row>
    <row r="76" spans="1:19" ht="17" thickBot="1">
      <c r="A76" s="227" t="s">
        <v>93</v>
      </c>
      <c r="B76" s="228"/>
      <c r="C76" s="32">
        <v>25</v>
      </c>
      <c r="D76" s="52">
        <v>20</v>
      </c>
      <c r="E76" s="49"/>
      <c r="F76" s="23">
        <v>30</v>
      </c>
      <c r="G76" s="27">
        <f t="shared" si="25"/>
        <v>45</v>
      </c>
      <c r="H76" s="28">
        <f t="shared" si="26"/>
        <v>0.33333333333333331</v>
      </c>
      <c r="I76" s="44">
        <f t="shared" si="24"/>
        <v>0</v>
      </c>
      <c r="J76" s="44">
        <f t="shared" si="27"/>
        <v>0</v>
      </c>
      <c r="K76" s="32">
        <v>23</v>
      </c>
      <c r="L76" s="32">
        <f t="shared" si="28"/>
        <v>5</v>
      </c>
      <c r="M76" s="33">
        <f t="shared" si="29"/>
        <v>0.37777777777777777</v>
      </c>
      <c r="N76" s="32">
        <f t="shared" si="30"/>
        <v>28</v>
      </c>
      <c r="O76" s="32">
        <f t="shared" si="31"/>
        <v>15</v>
      </c>
      <c r="P76" s="32">
        <f t="shared" si="32"/>
        <v>2</v>
      </c>
      <c r="Q76" s="33">
        <f t="shared" si="33"/>
        <v>7.1428571428571425E-2</v>
      </c>
      <c r="R76" s="34" t="s">
        <v>88</v>
      </c>
      <c r="S76" s="35" t="s">
        <v>94</v>
      </c>
    </row>
    <row r="77" spans="1:19" ht="17" thickBot="1">
      <c r="A77" s="229" t="s">
        <v>95</v>
      </c>
      <c r="B77" s="228"/>
      <c r="C77" s="53">
        <v>90</v>
      </c>
      <c r="D77" s="53">
        <v>20</v>
      </c>
      <c r="E77" s="49"/>
      <c r="F77" s="23">
        <v>95</v>
      </c>
      <c r="G77" s="27">
        <f t="shared" si="25"/>
        <v>110</v>
      </c>
      <c r="H77" s="28">
        <f t="shared" si="26"/>
        <v>0.13636363636363635</v>
      </c>
      <c r="I77" s="45">
        <f t="shared" si="24"/>
        <v>0</v>
      </c>
      <c r="J77" s="45">
        <f t="shared" si="27"/>
        <v>0</v>
      </c>
      <c r="K77" s="53">
        <v>88</v>
      </c>
      <c r="L77" s="25">
        <f t="shared" si="28"/>
        <v>5</v>
      </c>
      <c r="M77" s="29">
        <f t="shared" si="29"/>
        <v>0.15454545454545454</v>
      </c>
      <c r="N77" s="25">
        <f t="shared" si="30"/>
        <v>93</v>
      </c>
      <c r="O77" s="25">
        <f t="shared" si="31"/>
        <v>15</v>
      </c>
      <c r="P77" s="25">
        <f t="shared" si="32"/>
        <v>2</v>
      </c>
      <c r="Q77" s="29">
        <f t="shared" si="33"/>
        <v>2.1505376344086023E-2</v>
      </c>
      <c r="R77" s="30" t="s">
        <v>88</v>
      </c>
      <c r="S77" s="31" t="s">
        <v>96</v>
      </c>
    </row>
    <row r="78" spans="1:19" ht="17" thickBot="1">
      <c r="A78" s="227" t="s">
        <v>97</v>
      </c>
      <c r="B78" s="228"/>
      <c r="C78" s="52">
        <v>42</v>
      </c>
      <c r="D78" s="52">
        <v>20</v>
      </c>
      <c r="E78" s="49"/>
      <c r="F78" s="23">
        <v>47</v>
      </c>
      <c r="G78" s="27">
        <f t="shared" si="25"/>
        <v>62</v>
      </c>
      <c r="H78" s="28">
        <f t="shared" si="26"/>
        <v>0.24193548387096775</v>
      </c>
      <c r="I78" s="44">
        <f t="shared" si="24"/>
        <v>0</v>
      </c>
      <c r="J78" s="44">
        <f t="shared" si="27"/>
        <v>0</v>
      </c>
      <c r="K78" s="32">
        <f>C78-2</f>
        <v>40</v>
      </c>
      <c r="L78" s="32">
        <f t="shared" si="28"/>
        <v>5</v>
      </c>
      <c r="M78" s="33">
        <f t="shared" si="29"/>
        <v>0.27419354838709675</v>
      </c>
      <c r="N78" s="32">
        <f t="shared" si="30"/>
        <v>45</v>
      </c>
      <c r="O78" s="32">
        <f t="shared" si="31"/>
        <v>15</v>
      </c>
      <c r="P78" s="32">
        <f t="shared" si="32"/>
        <v>2</v>
      </c>
      <c r="Q78" s="33">
        <f t="shared" si="33"/>
        <v>4.4444444444444446E-2</v>
      </c>
      <c r="R78" s="34" t="s">
        <v>88</v>
      </c>
      <c r="S78" s="35" t="s">
        <v>98</v>
      </c>
    </row>
    <row r="79" spans="1:19" ht="17" thickBot="1">
      <c r="A79" s="229" t="s">
        <v>99</v>
      </c>
      <c r="B79" s="228"/>
      <c r="C79" s="25">
        <v>180</v>
      </c>
      <c r="D79" s="53">
        <v>20</v>
      </c>
      <c r="E79" s="49"/>
      <c r="F79" s="23">
        <v>185</v>
      </c>
      <c r="G79" s="27">
        <f t="shared" si="25"/>
        <v>200</v>
      </c>
      <c r="H79" s="28">
        <f t="shared" si="26"/>
        <v>7.4999999999999997E-2</v>
      </c>
      <c r="I79" s="45">
        <f t="shared" si="24"/>
        <v>0</v>
      </c>
      <c r="J79" s="45">
        <f t="shared" si="27"/>
        <v>0</v>
      </c>
      <c r="K79" s="25">
        <v>175</v>
      </c>
      <c r="L79" s="25">
        <f t="shared" si="28"/>
        <v>5</v>
      </c>
      <c r="M79" s="29">
        <f t="shared" si="29"/>
        <v>0.1</v>
      </c>
      <c r="N79" s="25">
        <f t="shared" si="30"/>
        <v>180</v>
      </c>
      <c r="O79" s="25">
        <f t="shared" si="31"/>
        <v>15</v>
      </c>
      <c r="P79" s="25">
        <f t="shared" si="32"/>
        <v>5</v>
      </c>
      <c r="Q79" s="29">
        <f t="shared" si="33"/>
        <v>2.7777777777777776E-2</v>
      </c>
      <c r="R79" s="30" t="s">
        <v>88</v>
      </c>
      <c r="S79" s="31" t="s">
        <v>100</v>
      </c>
    </row>
    <row r="80" spans="1:19" ht="17" thickBot="1">
      <c r="A80" s="227" t="s">
        <v>101</v>
      </c>
      <c r="B80" s="228"/>
      <c r="C80" s="52">
        <v>100</v>
      </c>
      <c r="D80" s="52">
        <v>20</v>
      </c>
      <c r="E80" s="49"/>
      <c r="F80" s="23">
        <v>105</v>
      </c>
      <c r="G80" s="27">
        <f t="shared" si="25"/>
        <v>120</v>
      </c>
      <c r="H80" s="28">
        <f t="shared" si="26"/>
        <v>0.125</v>
      </c>
      <c r="I80" s="44">
        <f t="shared" si="24"/>
        <v>0</v>
      </c>
      <c r="J80" s="44">
        <f t="shared" si="27"/>
        <v>0</v>
      </c>
      <c r="K80" s="32">
        <f>C80-5</f>
        <v>95</v>
      </c>
      <c r="L80" s="32">
        <f t="shared" si="28"/>
        <v>5</v>
      </c>
      <c r="M80" s="33">
        <f t="shared" si="29"/>
        <v>0.16666666666666666</v>
      </c>
      <c r="N80" s="32">
        <f t="shared" si="30"/>
        <v>100</v>
      </c>
      <c r="O80" s="32">
        <f t="shared" si="31"/>
        <v>15</v>
      </c>
      <c r="P80" s="32">
        <f t="shared" si="32"/>
        <v>5</v>
      </c>
      <c r="Q80" s="33">
        <f t="shared" si="33"/>
        <v>0.05</v>
      </c>
      <c r="R80" s="34" t="s">
        <v>88</v>
      </c>
      <c r="S80" s="35" t="s">
        <v>102</v>
      </c>
    </row>
    <row r="81" spans="1:19" ht="17" thickBot="1">
      <c r="A81" s="229" t="s">
        <v>103</v>
      </c>
      <c r="B81" s="228"/>
      <c r="C81" s="25">
        <v>110</v>
      </c>
      <c r="D81" s="53">
        <v>20</v>
      </c>
      <c r="E81" s="49"/>
      <c r="F81" s="23">
        <v>115</v>
      </c>
      <c r="G81" s="27">
        <f t="shared" si="25"/>
        <v>130</v>
      </c>
      <c r="H81" s="28">
        <f t="shared" si="26"/>
        <v>0.11538461538461539</v>
      </c>
      <c r="I81" s="45">
        <f t="shared" si="24"/>
        <v>0</v>
      </c>
      <c r="J81" s="45">
        <f t="shared" si="27"/>
        <v>0</v>
      </c>
      <c r="K81" s="25">
        <v>105</v>
      </c>
      <c r="L81" s="25">
        <f t="shared" si="28"/>
        <v>5</v>
      </c>
      <c r="M81" s="29">
        <f t="shared" si="29"/>
        <v>0.15384615384615385</v>
      </c>
      <c r="N81" s="25">
        <f t="shared" si="30"/>
        <v>110</v>
      </c>
      <c r="O81" s="25">
        <f t="shared" si="31"/>
        <v>15</v>
      </c>
      <c r="P81" s="25">
        <f t="shared" si="32"/>
        <v>5</v>
      </c>
      <c r="Q81" s="29">
        <f t="shared" si="33"/>
        <v>4.5454545454545456E-2</v>
      </c>
      <c r="R81" s="30" t="s">
        <v>88</v>
      </c>
      <c r="S81" s="31" t="s">
        <v>104</v>
      </c>
    </row>
    <row r="82" spans="1:19" ht="17" thickBot="1">
      <c r="A82" s="227" t="s">
        <v>105</v>
      </c>
      <c r="B82" s="228"/>
      <c r="C82" s="32">
        <v>48</v>
      </c>
      <c r="D82" s="52">
        <v>20</v>
      </c>
      <c r="E82" s="49"/>
      <c r="F82" s="23">
        <v>53</v>
      </c>
      <c r="G82" s="27">
        <f t="shared" si="25"/>
        <v>68</v>
      </c>
      <c r="H82" s="28">
        <f t="shared" si="26"/>
        <v>0.22058823529411764</v>
      </c>
      <c r="I82" s="44">
        <f t="shared" si="24"/>
        <v>0</v>
      </c>
      <c r="J82" s="44">
        <f t="shared" si="27"/>
        <v>0</v>
      </c>
      <c r="K82" s="32">
        <v>46</v>
      </c>
      <c r="L82" s="32">
        <f t="shared" si="28"/>
        <v>5</v>
      </c>
      <c r="M82" s="33">
        <f t="shared" si="29"/>
        <v>0.25</v>
      </c>
      <c r="N82" s="32">
        <f t="shared" si="30"/>
        <v>51</v>
      </c>
      <c r="O82" s="32">
        <f t="shared" si="31"/>
        <v>15</v>
      </c>
      <c r="P82" s="32">
        <f t="shared" si="32"/>
        <v>2</v>
      </c>
      <c r="Q82" s="33">
        <f t="shared" si="33"/>
        <v>3.9215686274509803E-2</v>
      </c>
      <c r="R82" s="34" t="s">
        <v>88</v>
      </c>
      <c r="S82" s="35" t="s">
        <v>106</v>
      </c>
    </row>
    <row r="83" spans="1:19" ht="17" thickBot="1">
      <c r="A83" s="229" t="s">
        <v>107</v>
      </c>
      <c r="B83" s="228"/>
      <c r="C83" s="25">
        <v>32</v>
      </c>
      <c r="D83" s="53">
        <v>20</v>
      </c>
      <c r="E83" s="49"/>
      <c r="F83" s="23">
        <v>37</v>
      </c>
      <c r="G83" s="27">
        <f t="shared" si="25"/>
        <v>52</v>
      </c>
      <c r="H83" s="28">
        <f t="shared" si="26"/>
        <v>0.28846153846153844</v>
      </c>
      <c r="I83" s="45">
        <f t="shared" si="24"/>
        <v>0</v>
      </c>
      <c r="J83" s="45">
        <f t="shared" si="27"/>
        <v>0</v>
      </c>
      <c r="K83" s="25">
        <v>30</v>
      </c>
      <c r="L83" s="25">
        <f t="shared" si="28"/>
        <v>5</v>
      </c>
      <c r="M83" s="29">
        <f t="shared" si="29"/>
        <v>0.32692307692307693</v>
      </c>
      <c r="N83" s="25">
        <f t="shared" si="30"/>
        <v>35</v>
      </c>
      <c r="O83" s="25">
        <f t="shared" si="31"/>
        <v>15</v>
      </c>
      <c r="P83" s="25">
        <f t="shared" si="32"/>
        <v>2</v>
      </c>
      <c r="Q83" s="29">
        <f t="shared" si="33"/>
        <v>5.7142857142857141E-2</v>
      </c>
      <c r="R83" s="30" t="s">
        <v>88</v>
      </c>
      <c r="S83" s="31" t="s">
        <v>108</v>
      </c>
    </row>
    <row r="84" spans="1:19" ht="17" thickBot="1">
      <c r="A84" s="227" t="s">
        <v>109</v>
      </c>
      <c r="B84" s="228"/>
      <c r="C84" s="32">
        <v>90</v>
      </c>
      <c r="D84" s="52">
        <v>20</v>
      </c>
      <c r="E84" s="49"/>
      <c r="F84" s="23">
        <v>96</v>
      </c>
      <c r="G84" s="27">
        <f t="shared" si="25"/>
        <v>110</v>
      </c>
      <c r="H84" s="28">
        <f t="shared" si="26"/>
        <v>0.12727272727272726</v>
      </c>
      <c r="I84" s="44">
        <f t="shared" si="24"/>
        <v>0</v>
      </c>
      <c r="J84" s="44">
        <f t="shared" si="27"/>
        <v>0</v>
      </c>
      <c r="K84" s="52">
        <v>88</v>
      </c>
      <c r="L84" s="32">
        <f t="shared" si="28"/>
        <v>5</v>
      </c>
      <c r="M84" s="33">
        <f t="shared" si="29"/>
        <v>0.15454545454545454</v>
      </c>
      <c r="N84" s="32">
        <f t="shared" si="30"/>
        <v>93</v>
      </c>
      <c r="O84" s="32">
        <f t="shared" si="31"/>
        <v>14</v>
      </c>
      <c r="P84" s="32">
        <f t="shared" si="32"/>
        <v>3</v>
      </c>
      <c r="Q84" s="33">
        <f t="shared" si="33"/>
        <v>3.2258064516129031E-2</v>
      </c>
      <c r="R84" s="34" t="s">
        <v>88</v>
      </c>
      <c r="S84" s="35" t="s">
        <v>110</v>
      </c>
    </row>
    <row r="85" spans="1:19" ht="17" thickBot="1">
      <c r="A85" s="229" t="s">
        <v>111</v>
      </c>
      <c r="B85" s="228"/>
      <c r="C85" s="56">
        <v>125</v>
      </c>
      <c r="D85" s="56">
        <v>20</v>
      </c>
      <c r="E85" s="49"/>
      <c r="F85" s="57">
        <v>130</v>
      </c>
      <c r="G85" s="27">
        <f t="shared" si="25"/>
        <v>145</v>
      </c>
      <c r="H85" s="58">
        <f t="shared" si="26"/>
        <v>0.10344827586206896</v>
      </c>
      <c r="I85" s="45">
        <f t="shared" si="24"/>
        <v>0</v>
      </c>
      <c r="J85" s="45">
        <f t="shared" si="27"/>
        <v>0</v>
      </c>
      <c r="K85" s="56">
        <f>C85-5</f>
        <v>120</v>
      </c>
      <c r="L85" s="56">
        <f t="shared" si="28"/>
        <v>5</v>
      </c>
      <c r="M85" s="29">
        <f t="shared" si="29"/>
        <v>0.13793103448275862</v>
      </c>
      <c r="N85" s="56">
        <f t="shared" si="30"/>
        <v>125</v>
      </c>
      <c r="O85" s="56">
        <f t="shared" si="31"/>
        <v>15</v>
      </c>
      <c r="P85" s="56">
        <f t="shared" si="32"/>
        <v>5</v>
      </c>
      <c r="Q85" s="59">
        <f t="shared" si="33"/>
        <v>0.04</v>
      </c>
      <c r="R85" s="53" t="s">
        <v>88</v>
      </c>
      <c r="S85" s="31" t="s">
        <v>112</v>
      </c>
    </row>
    <row r="86" spans="1:19" ht="17" thickBot="1">
      <c r="A86" s="238" t="s">
        <v>113</v>
      </c>
      <c r="B86" s="232"/>
      <c r="C86" s="46"/>
      <c r="D86" s="46"/>
      <c r="E86" s="22"/>
      <c r="F86" s="23"/>
      <c r="G86" s="24"/>
      <c r="H86" s="28"/>
      <c r="I86" s="238"/>
      <c r="J86" s="232"/>
      <c r="K86" s="238"/>
      <c r="L86" s="232"/>
      <c r="M86" s="238"/>
      <c r="N86" s="232"/>
      <c r="O86" s="238"/>
      <c r="P86" s="232"/>
      <c r="Q86" s="238"/>
      <c r="R86" s="232"/>
      <c r="S86" s="153"/>
    </row>
    <row r="87" spans="1:19" ht="17" thickBot="1">
      <c r="A87" s="229" t="s">
        <v>114</v>
      </c>
      <c r="B87" s="228"/>
      <c r="C87" s="25">
        <v>26</v>
      </c>
      <c r="D87" s="25">
        <f>1.2*25</f>
        <v>30</v>
      </c>
      <c r="E87" s="49"/>
      <c r="F87" s="23">
        <v>18</v>
      </c>
      <c r="G87" s="27">
        <f t="shared" ref="G87:G102" si="34">C87+D87</f>
        <v>56</v>
      </c>
      <c r="H87" s="28">
        <f t="shared" ref="H87:H102" si="35">O87/G87</f>
        <v>0.6785714285714286</v>
      </c>
      <c r="I87" s="45">
        <f t="shared" ref="I87:I102" si="36">F87*E87</f>
        <v>0</v>
      </c>
      <c r="J87" s="45">
        <f t="shared" ref="J87:J102" si="37">(G87-F87)*E87</f>
        <v>0</v>
      </c>
      <c r="K87" s="25">
        <v>16.5</v>
      </c>
      <c r="L87" s="25">
        <f t="shared" ref="L87:L102" si="38">K87*0.05</f>
        <v>0.82500000000000007</v>
      </c>
      <c r="M87" s="25">
        <f t="shared" ref="M87:M102" si="39">(G87-N87)/G87</f>
        <v>0.69062499999999993</v>
      </c>
      <c r="N87" s="25">
        <f t="shared" ref="N87:N102" si="40">K87+L87</f>
        <v>17.324999999999999</v>
      </c>
      <c r="O87" s="25">
        <f t="shared" ref="O87:O102" si="41">G87-F87</f>
        <v>38</v>
      </c>
      <c r="P87" s="25">
        <f t="shared" ref="P87:P102" si="42">F87-N87</f>
        <v>0.67500000000000071</v>
      </c>
      <c r="Q87" s="29">
        <f t="shared" ref="Q87:Q102" si="43">P87/N87</f>
        <v>3.8961038961039002E-2</v>
      </c>
      <c r="R87" s="30" t="s">
        <v>68</v>
      </c>
      <c r="S87" s="31"/>
    </row>
    <row r="88" spans="1:19" ht="17" thickBot="1">
      <c r="A88" s="227" t="s">
        <v>115</v>
      </c>
      <c r="B88" s="228"/>
      <c r="C88" s="32">
        <v>15</v>
      </c>
      <c r="D88" s="32">
        <f>1.2*5</f>
        <v>6</v>
      </c>
      <c r="E88" s="49"/>
      <c r="F88" s="23">
        <v>10</v>
      </c>
      <c r="G88" s="27">
        <f t="shared" si="34"/>
        <v>21</v>
      </c>
      <c r="H88" s="28">
        <f t="shared" si="35"/>
        <v>0.52380952380952384</v>
      </c>
      <c r="I88" s="44">
        <f t="shared" si="36"/>
        <v>0</v>
      </c>
      <c r="J88" s="44">
        <f t="shared" si="37"/>
        <v>0</v>
      </c>
      <c r="K88" s="32">
        <v>8.5</v>
      </c>
      <c r="L88" s="32">
        <f t="shared" si="38"/>
        <v>0.42500000000000004</v>
      </c>
      <c r="M88" s="32">
        <f t="shared" si="39"/>
        <v>0.57499999999999996</v>
      </c>
      <c r="N88" s="32">
        <f t="shared" si="40"/>
        <v>8.9250000000000007</v>
      </c>
      <c r="O88" s="32">
        <f t="shared" si="41"/>
        <v>11</v>
      </c>
      <c r="P88" s="32">
        <f t="shared" si="42"/>
        <v>1.0749999999999993</v>
      </c>
      <c r="Q88" s="33">
        <f t="shared" si="43"/>
        <v>0.12044817927170859</v>
      </c>
      <c r="R88" s="34" t="s">
        <v>68</v>
      </c>
      <c r="S88" s="35"/>
    </row>
    <row r="89" spans="1:19" ht="17" thickBot="1">
      <c r="A89" s="229" t="s">
        <v>116</v>
      </c>
      <c r="B89" s="228"/>
      <c r="C89" s="25">
        <v>50</v>
      </c>
      <c r="D89" s="25">
        <f>1.2*25</f>
        <v>30</v>
      </c>
      <c r="E89" s="49"/>
      <c r="F89" s="23">
        <v>38</v>
      </c>
      <c r="G89" s="27">
        <f t="shared" si="34"/>
        <v>80</v>
      </c>
      <c r="H89" s="28">
        <f t="shared" si="35"/>
        <v>0.52500000000000002</v>
      </c>
      <c r="I89" s="45">
        <f t="shared" si="36"/>
        <v>0</v>
      </c>
      <c r="J89" s="45">
        <f t="shared" si="37"/>
        <v>0</v>
      </c>
      <c r="K89" s="25">
        <v>34.25</v>
      </c>
      <c r="L89" s="25">
        <f t="shared" si="38"/>
        <v>1.7125000000000001</v>
      </c>
      <c r="M89" s="25">
        <f t="shared" si="39"/>
        <v>0.55046875000000006</v>
      </c>
      <c r="N89" s="25">
        <f t="shared" si="40"/>
        <v>35.962499999999999</v>
      </c>
      <c r="O89" s="25">
        <f t="shared" si="41"/>
        <v>42</v>
      </c>
      <c r="P89" s="25">
        <f t="shared" si="42"/>
        <v>2.0375000000000014</v>
      </c>
      <c r="Q89" s="29">
        <f t="shared" si="43"/>
        <v>5.6656239137991005E-2</v>
      </c>
      <c r="R89" s="30" t="s">
        <v>68</v>
      </c>
      <c r="S89" s="31"/>
    </row>
    <row r="90" spans="1:19" ht="17" thickBot="1">
      <c r="A90" s="227" t="s">
        <v>117</v>
      </c>
      <c r="B90" s="228"/>
      <c r="C90" s="32">
        <v>49</v>
      </c>
      <c r="D90" s="32">
        <f>C90*0.1</f>
        <v>4.9000000000000004</v>
      </c>
      <c r="E90" s="49"/>
      <c r="F90" s="23">
        <v>16</v>
      </c>
      <c r="G90" s="27">
        <f t="shared" si="34"/>
        <v>53.9</v>
      </c>
      <c r="H90" s="28">
        <f t="shared" si="35"/>
        <v>0.70315398886827463</v>
      </c>
      <c r="I90" s="44">
        <f t="shared" si="36"/>
        <v>0</v>
      </c>
      <c r="J90" s="44">
        <f t="shared" si="37"/>
        <v>0</v>
      </c>
      <c r="K90" s="32">
        <v>14</v>
      </c>
      <c r="L90" s="32">
        <f t="shared" si="38"/>
        <v>0.70000000000000007</v>
      </c>
      <c r="M90" s="32">
        <f t="shared" si="39"/>
        <v>0.72727272727272729</v>
      </c>
      <c r="N90" s="32">
        <f t="shared" si="40"/>
        <v>14.7</v>
      </c>
      <c r="O90" s="32">
        <f t="shared" si="41"/>
        <v>37.9</v>
      </c>
      <c r="P90" s="32">
        <f t="shared" si="42"/>
        <v>1.3000000000000007</v>
      </c>
      <c r="Q90" s="33">
        <f t="shared" si="43"/>
        <v>8.843537414965992E-2</v>
      </c>
      <c r="R90" s="34" t="s">
        <v>68</v>
      </c>
      <c r="S90" s="35"/>
    </row>
    <row r="91" spans="1:19" ht="17" thickBot="1">
      <c r="A91" s="229" t="s">
        <v>118</v>
      </c>
      <c r="B91" s="228"/>
      <c r="C91" s="25">
        <v>17.5</v>
      </c>
      <c r="D91" s="25">
        <f>C91*0.1</f>
        <v>1.75</v>
      </c>
      <c r="E91" s="49"/>
      <c r="F91" s="23">
        <v>11</v>
      </c>
      <c r="G91" s="27">
        <f t="shared" si="34"/>
        <v>19.25</v>
      </c>
      <c r="H91" s="28">
        <f t="shared" si="35"/>
        <v>0.42857142857142855</v>
      </c>
      <c r="I91" s="45">
        <f t="shared" si="36"/>
        <v>0</v>
      </c>
      <c r="J91" s="45">
        <f t="shared" si="37"/>
        <v>0</v>
      </c>
      <c r="K91" s="25">
        <v>10</v>
      </c>
      <c r="L91" s="25">
        <f t="shared" si="38"/>
        <v>0.5</v>
      </c>
      <c r="M91" s="25">
        <f t="shared" si="39"/>
        <v>0.45454545454545453</v>
      </c>
      <c r="N91" s="25">
        <f t="shared" si="40"/>
        <v>10.5</v>
      </c>
      <c r="O91" s="25">
        <f t="shared" si="41"/>
        <v>8.25</v>
      </c>
      <c r="P91" s="25">
        <f t="shared" si="42"/>
        <v>0.5</v>
      </c>
      <c r="Q91" s="29">
        <f t="shared" si="43"/>
        <v>4.7619047619047616E-2</v>
      </c>
      <c r="R91" s="30" t="s">
        <v>68</v>
      </c>
      <c r="S91" s="31"/>
    </row>
    <row r="92" spans="1:19" ht="17" thickBot="1">
      <c r="A92" s="227" t="s">
        <v>119</v>
      </c>
      <c r="B92" s="228"/>
      <c r="C92" s="32">
        <v>75</v>
      </c>
      <c r="D92" s="32">
        <f>C92*0.1</f>
        <v>7.5</v>
      </c>
      <c r="E92" s="49"/>
      <c r="F92" s="23">
        <v>33</v>
      </c>
      <c r="G92" s="27">
        <f t="shared" si="34"/>
        <v>82.5</v>
      </c>
      <c r="H92" s="28">
        <f t="shared" si="35"/>
        <v>0.6</v>
      </c>
      <c r="I92" s="44">
        <f t="shared" si="36"/>
        <v>0</v>
      </c>
      <c r="J92" s="44">
        <f t="shared" si="37"/>
        <v>0</v>
      </c>
      <c r="K92" s="32">
        <v>30</v>
      </c>
      <c r="L92" s="32">
        <f t="shared" si="38"/>
        <v>1.5</v>
      </c>
      <c r="M92" s="32">
        <f t="shared" si="39"/>
        <v>0.61818181818181817</v>
      </c>
      <c r="N92" s="32">
        <f t="shared" si="40"/>
        <v>31.5</v>
      </c>
      <c r="O92" s="32">
        <f t="shared" si="41"/>
        <v>49.5</v>
      </c>
      <c r="P92" s="32">
        <f t="shared" si="42"/>
        <v>1.5</v>
      </c>
      <c r="Q92" s="33">
        <f t="shared" si="43"/>
        <v>4.7619047619047616E-2</v>
      </c>
      <c r="R92" s="34" t="s">
        <v>68</v>
      </c>
      <c r="S92" s="35"/>
    </row>
    <row r="93" spans="1:19" ht="17" thickBot="1">
      <c r="A93" s="229" t="s">
        <v>120</v>
      </c>
      <c r="B93" s="228"/>
      <c r="C93" s="25">
        <v>63</v>
      </c>
      <c r="D93" s="25">
        <f>1.2*5</f>
        <v>6</v>
      </c>
      <c r="E93" s="49"/>
      <c r="F93" s="23">
        <v>56</v>
      </c>
      <c r="G93" s="27">
        <f t="shared" si="34"/>
        <v>69</v>
      </c>
      <c r="H93" s="28">
        <f t="shared" si="35"/>
        <v>0.18840579710144928</v>
      </c>
      <c r="I93" s="45">
        <f t="shared" si="36"/>
        <v>0</v>
      </c>
      <c r="J93" s="45">
        <f t="shared" si="37"/>
        <v>0</v>
      </c>
      <c r="K93" s="25">
        <v>51</v>
      </c>
      <c r="L93" s="25">
        <f t="shared" si="38"/>
        <v>2.5500000000000003</v>
      </c>
      <c r="M93" s="25">
        <f t="shared" si="39"/>
        <v>0.22391304347826091</v>
      </c>
      <c r="N93" s="25">
        <f t="shared" si="40"/>
        <v>53.55</v>
      </c>
      <c r="O93" s="25">
        <f t="shared" si="41"/>
        <v>13</v>
      </c>
      <c r="P93" s="25">
        <f t="shared" si="42"/>
        <v>2.4500000000000028</v>
      </c>
      <c r="Q93" s="29">
        <f t="shared" si="43"/>
        <v>4.5751633986928157E-2</v>
      </c>
      <c r="R93" s="30" t="s">
        <v>68</v>
      </c>
      <c r="S93" s="31"/>
    </row>
    <row r="94" spans="1:19" ht="17" thickBot="1">
      <c r="A94" s="227" t="s">
        <v>121</v>
      </c>
      <c r="B94" s="228"/>
      <c r="C94" s="32">
        <v>280</v>
      </c>
      <c r="D94" s="32">
        <f>1.2*25</f>
        <v>30</v>
      </c>
      <c r="E94" s="49"/>
      <c r="F94" s="23">
        <v>244</v>
      </c>
      <c r="G94" s="27">
        <f t="shared" si="34"/>
        <v>310</v>
      </c>
      <c r="H94" s="28">
        <f t="shared" si="35"/>
        <v>0.2129032258064516</v>
      </c>
      <c r="I94" s="44">
        <f t="shared" si="36"/>
        <v>0</v>
      </c>
      <c r="J94" s="44">
        <f t="shared" si="37"/>
        <v>0</v>
      </c>
      <c r="K94" s="32">
        <v>225</v>
      </c>
      <c r="L94" s="32">
        <f t="shared" si="38"/>
        <v>11.25</v>
      </c>
      <c r="M94" s="32">
        <f t="shared" si="39"/>
        <v>0.23790322580645162</v>
      </c>
      <c r="N94" s="32">
        <f t="shared" si="40"/>
        <v>236.25</v>
      </c>
      <c r="O94" s="32">
        <f t="shared" si="41"/>
        <v>66</v>
      </c>
      <c r="P94" s="32">
        <f t="shared" si="42"/>
        <v>7.75</v>
      </c>
      <c r="Q94" s="33">
        <f t="shared" si="43"/>
        <v>3.2804232804232801E-2</v>
      </c>
      <c r="R94" s="34" t="s">
        <v>68</v>
      </c>
      <c r="S94" s="35"/>
    </row>
    <row r="95" spans="1:19" ht="17" thickBot="1">
      <c r="A95" s="229" t="s">
        <v>122</v>
      </c>
      <c r="B95" s="228"/>
      <c r="C95" s="25">
        <v>13</v>
      </c>
      <c r="D95" s="25">
        <v>3</v>
      </c>
      <c r="E95" s="49"/>
      <c r="F95" s="23">
        <v>8</v>
      </c>
      <c r="G95" s="27">
        <f t="shared" si="34"/>
        <v>16</v>
      </c>
      <c r="H95" s="28">
        <f t="shared" si="35"/>
        <v>0.5</v>
      </c>
      <c r="I95" s="45">
        <f t="shared" si="36"/>
        <v>0</v>
      </c>
      <c r="J95" s="45">
        <f t="shared" si="37"/>
        <v>0</v>
      </c>
      <c r="K95" s="25">
        <v>7</v>
      </c>
      <c r="L95" s="25">
        <f t="shared" si="38"/>
        <v>0.35000000000000003</v>
      </c>
      <c r="M95" s="25">
        <f t="shared" si="39"/>
        <v>0.54062500000000002</v>
      </c>
      <c r="N95" s="25">
        <f t="shared" si="40"/>
        <v>7.35</v>
      </c>
      <c r="O95" s="25">
        <f t="shared" si="41"/>
        <v>8</v>
      </c>
      <c r="P95" s="25">
        <f t="shared" si="42"/>
        <v>0.65000000000000036</v>
      </c>
      <c r="Q95" s="29">
        <f t="shared" si="43"/>
        <v>8.843537414965992E-2</v>
      </c>
      <c r="R95" s="30" t="s">
        <v>68</v>
      </c>
      <c r="S95" s="31"/>
    </row>
    <row r="96" spans="1:19" ht="17" thickBot="1">
      <c r="A96" s="227" t="s">
        <v>123</v>
      </c>
      <c r="B96" s="228"/>
      <c r="C96" s="32">
        <v>55</v>
      </c>
      <c r="D96" s="32">
        <v>12</v>
      </c>
      <c r="E96" s="49"/>
      <c r="F96" s="23">
        <v>32</v>
      </c>
      <c r="G96" s="27">
        <f t="shared" si="34"/>
        <v>67</v>
      </c>
      <c r="H96" s="28">
        <f t="shared" si="35"/>
        <v>0.52238805970149249</v>
      </c>
      <c r="I96" s="44">
        <f t="shared" si="36"/>
        <v>0</v>
      </c>
      <c r="J96" s="44">
        <f t="shared" si="37"/>
        <v>0</v>
      </c>
      <c r="K96" s="32">
        <v>28.75</v>
      </c>
      <c r="L96" s="32">
        <f t="shared" si="38"/>
        <v>1.4375</v>
      </c>
      <c r="M96" s="32">
        <f t="shared" si="39"/>
        <v>0.54944029850746268</v>
      </c>
      <c r="N96" s="32">
        <f t="shared" si="40"/>
        <v>30.1875</v>
      </c>
      <c r="O96" s="32">
        <f t="shared" si="41"/>
        <v>35</v>
      </c>
      <c r="P96" s="32">
        <f t="shared" si="42"/>
        <v>1.8125</v>
      </c>
      <c r="Q96" s="33">
        <f t="shared" si="43"/>
        <v>6.0041407867494824E-2</v>
      </c>
      <c r="R96" s="34" t="s">
        <v>68</v>
      </c>
      <c r="S96" s="35"/>
    </row>
    <row r="97" spans="1:19" ht="17" thickBot="1">
      <c r="A97" s="229" t="s">
        <v>124</v>
      </c>
      <c r="B97" s="228"/>
      <c r="C97" s="25">
        <v>130</v>
      </c>
      <c r="D97" s="25">
        <f>1.2*25</f>
        <v>30</v>
      </c>
      <c r="E97" s="49"/>
      <c r="F97" s="23">
        <v>141</v>
      </c>
      <c r="G97" s="27">
        <f t="shared" si="34"/>
        <v>160</v>
      </c>
      <c r="H97" s="28">
        <f t="shared" si="35"/>
        <v>0.11874999999999999</v>
      </c>
      <c r="I97" s="45">
        <f t="shared" si="36"/>
        <v>0</v>
      </c>
      <c r="J97" s="45">
        <f t="shared" si="37"/>
        <v>0</v>
      </c>
      <c r="K97" s="25">
        <v>130</v>
      </c>
      <c r="L97" s="25">
        <f t="shared" si="38"/>
        <v>6.5</v>
      </c>
      <c r="M97" s="25">
        <f t="shared" si="39"/>
        <v>0.14687500000000001</v>
      </c>
      <c r="N97" s="25">
        <f t="shared" si="40"/>
        <v>136.5</v>
      </c>
      <c r="O97" s="25">
        <f t="shared" si="41"/>
        <v>19</v>
      </c>
      <c r="P97" s="25">
        <f t="shared" si="42"/>
        <v>4.5</v>
      </c>
      <c r="Q97" s="29">
        <f t="shared" si="43"/>
        <v>3.2967032967032968E-2</v>
      </c>
      <c r="R97" s="30" t="s">
        <v>68</v>
      </c>
      <c r="S97" s="31"/>
    </row>
    <row r="98" spans="1:19" ht="17" thickBot="1">
      <c r="A98" s="227" t="s">
        <v>125</v>
      </c>
      <c r="B98" s="228"/>
      <c r="C98" s="32">
        <v>10</v>
      </c>
      <c r="D98" s="32">
        <v>6</v>
      </c>
      <c r="E98" s="49"/>
      <c r="F98" s="23">
        <v>13</v>
      </c>
      <c r="G98" s="27">
        <f t="shared" si="34"/>
        <v>16</v>
      </c>
      <c r="H98" s="28">
        <f t="shared" si="35"/>
        <v>0.1875</v>
      </c>
      <c r="I98" s="44">
        <f t="shared" si="36"/>
        <v>0</v>
      </c>
      <c r="J98" s="44">
        <f t="shared" si="37"/>
        <v>0</v>
      </c>
      <c r="K98" s="32">
        <v>11.25</v>
      </c>
      <c r="L98" s="32">
        <f t="shared" si="38"/>
        <v>0.5625</v>
      </c>
      <c r="M98" s="32">
        <f t="shared" si="39"/>
        <v>0.26171875</v>
      </c>
      <c r="N98" s="32">
        <f t="shared" si="40"/>
        <v>11.8125</v>
      </c>
      <c r="O98" s="32">
        <f t="shared" si="41"/>
        <v>3</v>
      </c>
      <c r="P98" s="32">
        <f t="shared" si="42"/>
        <v>1.1875</v>
      </c>
      <c r="Q98" s="33">
        <f t="shared" si="43"/>
        <v>0.10052910052910052</v>
      </c>
      <c r="R98" s="34" t="s">
        <v>68</v>
      </c>
      <c r="S98" s="35"/>
    </row>
    <row r="99" spans="1:19" ht="17" thickBot="1">
      <c r="A99" s="229" t="s">
        <v>126</v>
      </c>
      <c r="B99" s="228"/>
      <c r="C99" s="25">
        <v>49</v>
      </c>
      <c r="D99" s="25">
        <f>1.2*25</f>
        <v>30</v>
      </c>
      <c r="E99" s="49"/>
      <c r="F99" s="23">
        <v>53</v>
      </c>
      <c r="G99" s="27">
        <f t="shared" si="34"/>
        <v>79</v>
      </c>
      <c r="H99" s="28">
        <f t="shared" si="35"/>
        <v>0.32911392405063289</v>
      </c>
      <c r="I99" s="45">
        <f t="shared" si="36"/>
        <v>0</v>
      </c>
      <c r="J99" s="45">
        <f t="shared" si="37"/>
        <v>0</v>
      </c>
      <c r="K99" s="25">
        <v>49</v>
      </c>
      <c r="L99" s="25">
        <f t="shared" si="38"/>
        <v>2.4500000000000002</v>
      </c>
      <c r="M99" s="25">
        <f t="shared" si="39"/>
        <v>0.34873417721518984</v>
      </c>
      <c r="N99" s="25">
        <f t="shared" si="40"/>
        <v>51.45</v>
      </c>
      <c r="O99" s="25">
        <f t="shared" si="41"/>
        <v>26</v>
      </c>
      <c r="P99" s="25">
        <f t="shared" si="42"/>
        <v>1.5499999999999972</v>
      </c>
      <c r="Q99" s="29">
        <f t="shared" si="43"/>
        <v>3.0126336248785173E-2</v>
      </c>
      <c r="R99" s="30" t="s">
        <v>68</v>
      </c>
      <c r="S99" s="31"/>
    </row>
    <row r="100" spans="1:19" ht="17" thickBot="1">
      <c r="A100" s="227" t="s">
        <v>127</v>
      </c>
      <c r="B100" s="228"/>
      <c r="C100" s="32">
        <v>14</v>
      </c>
      <c r="D100" s="32">
        <f>C100*0.1</f>
        <v>1.4000000000000001</v>
      </c>
      <c r="E100" s="49"/>
      <c r="F100" s="23">
        <v>8</v>
      </c>
      <c r="G100" s="27">
        <f t="shared" si="34"/>
        <v>15.4</v>
      </c>
      <c r="H100" s="28">
        <f t="shared" si="35"/>
        <v>0.48051948051948051</v>
      </c>
      <c r="I100" s="44">
        <f t="shared" si="36"/>
        <v>0</v>
      </c>
      <c r="J100" s="44">
        <f t="shared" si="37"/>
        <v>0</v>
      </c>
      <c r="K100" s="32">
        <v>7</v>
      </c>
      <c r="L100" s="32">
        <f t="shared" si="38"/>
        <v>0.35000000000000003</v>
      </c>
      <c r="M100" s="32">
        <f t="shared" si="39"/>
        <v>0.52272727272727271</v>
      </c>
      <c r="N100" s="32">
        <f t="shared" si="40"/>
        <v>7.35</v>
      </c>
      <c r="O100" s="32">
        <f t="shared" si="41"/>
        <v>7.4</v>
      </c>
      <c r="P100" s="32">
        <f t="shared" si="42"/>
        <v>0.65000000000000036</v>
      </c>
      <c r="Q100" s="33">
        <f t="shared" si="43"/>
        <v>8.843537414965992E-2</v>
      </c>
      <c r="R100" s="34" t="s">
        <v>68</v>
      </c>
      <c r="S100" s="35"/>
    </row>
    <row r="101" spans="1:19" ht="17" thickBot="1">
      <c r="A101" s="229" t="s">
        <v>128</v>
      </c>
      <c r="B101" s="228"/>
      <c r="C101" s="25">
        <v>46.5</v>
      </c>
      <c r="D101" s="25">
        <f>C101*0.1</f>
        <v>4.6500000000000004</v>
      </c>
      <c r="E101" s="49"/>
      <c r="F101" s="23">
        <v>35</v>
      </c>
      <c r="G101" s="27">
        <f t="shared" si="34"/>
        <v>51.15</v>
      </c>
      <c r="H101" s="28">
        <f t="shared" si="35"/>
        <v>0.31573802541544477</v>
      </c>
      <c r="I101" s="45">
        <f t="shared" si="36"/>
        <v>0</v>
      </c>
      <c r="J101" s="45">
        <f t="shared" si="37"/>
        <v>0</v>
      </c>
      <c r="K101" s="25">
        <v>32</v>
      </c>
      <c r="L101" s="25">
        <f t="shared" si="38"/>
        <v>1.6</v>
      </c>
      <c r="M101" s="25">
        <f t="shared" si="39"/>
        <v>0.34310850439882695</v>
      </c>
      <c r="N101" s="25">
        <f t="shared" si="40"/>
        <v>33.6</v>
      </c>
      <c r="O101" s="25">
        <f t="shared" si="41"/>
        <v>16.149999999999999</v>
      </c>
      <c r="P101" s="25">
        <f t="shared" si="42"/>
        <v>1.3999999999999986</v>
      </c>
      <c r="Q101" s="29">
        <f t="shared" si="43"/>
        <v>4.1666666666666623E-2</v>
      </c>
      <c r="R101" s="30" t="s">
        <v>68</v>
      </c>
      <c r="S101" s="31"/>
    </row>
    <row r="102" spans="1:19" ht="17" thickBot="1">
      <c r="A102" s="227" t="s">
        <v>129</v>
      </c>
      <c r="B102" s="228"/>
      <c r="C102" s="32">
        <v>72.25</v>
      </c>
      <c r="D102" s="32">
        <f>1.2*25</f>
        <v>30</v>
      </c>
      <c r="E102" s="49"/>
      <c r="F102" s="23">
        <v>61</v>
      </c>
      <c r="G102" s="27">
        <f t="shared" si="34"/>
        <v>102.25</v>
      </c>
      <c r="H102" s="28">
        <f t="shared" si="35"/>
        <v>0.4034229828850856</v>
      </c>
      <c r="I102" s="44">
        <f t="shared" si="36"/>
        <v>0</v>
      </c>
      <c r="J102" s="44">
        <f t="shared" si="37"/>
        <v>0</v>
      </c>
      <c r="K102" s="32">
        <v>56</v>
      </c>
      <c r="L102" s="32">
        <f t="shared" si="38"/>
        <v>2.8000000000000003</v>
      </c>
      <c r="M102" s="32">
        <f t="shared" si="39"/>
        <v>0.42493887530562352</v>
      </c>
      <c r="N102" s="32">
        <f t="shared" si="40"/>
        <v>58.8</v>
      </c>
      <c r="O102" s="32">
        <f t="shared" si="41"/>
        <v>41.25</v>
      </c>
      <c r="P102" s="32">
        <f t="shared" si="42"/>
        <v>2.2000000000000028</v>
      </c>
      <c r="Q102" s="33">
        <f t="shared" si="43"/>
        <v>3.7414965986394606E-2</v>
      </c>
      <c r="R102" s="34" t="s">
        <v>68</v>
      </c>
      <c r="S102" s="35"/>
    </row>
    <row r="103" spans="1:19" ht="87" customHeight="1" thickBot="1">
      <c r="A103" s="259"/>
      <c r="B103" s="260"/>
      <c r="C103" s="260"/>
      <c r="D103" s="260"/>
      <c r="E103" s="260"/>
      <c r="F103" s="260"/>
      <c r="G103" s="260"/>
      <c r="H103" s="260"/>
      <c r="I103" s="260"/>
      <c r="J103" s="260"/>
      <c r="K103" s="260"/>
      <c r="L103" s="260"/>
      <c r="M103" s="260"/>
      <c r="N103" s="260"/>
      <c r="O103" s="260"/>
      <c r="P103" s="260"/>
      <c r="Q103" s="260"/>
      <c r="R103" s="260"/>
      <c r="S103" s="260"/>
    </row>
    <row r="104" spans="1:19" ht="17" thickBot="1">
      <c r="A104" s="238" t="s">
        <v>130</v>
      </c>
      <c r="B104" s="232"/>
      <c r="C104" s="46"/>
      <c r="D104" s="46"/>
      <c r="E104" s="22"/>
      <c r="F104" s="23"/>
      <c r="G104" s="24"/>
      <c r="H104" s="28"/>
      <c r="I104" s="238"/>
      <c r="J104" s="232"/>
      <c r="K104" s="238"/>
      <c r="L104" s="232"/>
      <c r="M104" s="238"/>
      <c r="N104" s="232"/>
      <c r="O104" s="238"/>
      <c r="P104" s="232"/>
      <c r="Q104" s="238"/>
      <c r="R104" s="232"/>
      <c r="S104" s="153"/>
    </row>
    <row r="105" spans="1:19" ht="48" customHeight="1" thickBot="1">
      <c r="A105" s="242" t="s">
        <v>131</v>
      </c>
      <c r="B105" s="228"/>
      <c r="C105" s="25"/>
      <c r="D105" s="25"/>
      <c r="E105" s="26"/>
      <c r="F105" s="23"/>
      <c r="G105" s="27"/>
      <c r="H105" s="28"/>
      <c r="I105" s="25"/>
      <c r="J105" s="25"/>
      <c r="K105" s="25"/>
      <c r="L105" s="25"/>
      <c r="M105" s="25"/>
      <c r="N105" s="25"/>
      <c r="O105" s="25"/>
      <c r="P105" s="25"/>
      <c r="Q105" s="29"/>
      <c r="R105" s="30"/>
      <c r="S105" s="31"/>
    </row>
    <row r="106" spans="1:19" ht="17" thickBot="1">
      <c r="A106" s="227" t="s">
        <v>132</v>
      </c>
      <c r="B106" s="228"/>
      <c r="C106" s="32">
        <v>94</v>
      </c>
      <c r="D106" s="32">
        <f>C106*0.1</f>
        <v>9.4</v>
      </c>
      <c r="E106" s="49"/>
      <c r="F106" s="23">
        <v>93</v>
      </c>
      <c r="G106" s="27">
        <f>C106+D106</f>
        <v>103.4</v>
      </c>
      <c r="H106" s="28">
        <f>O106/G106</f>
        <v>0.1005802707930368</v>
      </c>
      <c r="I106" s="44">
        <f t="shared" ref="I106:I114" si="44">F106*E106</f>
        <v>0</v>
      </c>
      <c r="J106" s="44">
        <f t="shared" ref="J106:J114" si="45">(G106-F106)*E106</f>
        <v>0</v>
      </c>
      <c r="K106" s="39">
        <f>C106*0.9</f>
        <v>84.600000000000009</v>
      </c>
      <c r="L106" s="32">
        <f>K106*0.02</f>
        <v>1.6920000000000002</v>
      </c>
      <c r="M106" s="32"/>
      <c r="N106" s="32">
        <f>K106+L106</f>
        <v>86.292000000000002</v>
      </c>
      <c r="O106" s="32">
        <f>G106-F106</f>
        <v>10.400000000000006</v>
      </c>
      <c r="P106" s="32">
        <f>F106-N106</f>
        <v>6.7079999999999984</v>
      </c>
      <c r="Q106" s="33">
        <f>P106/N106</f>
        <v>7.7736058962592114E-2</v>
      </c>
      <c r="R106" s="34" t="s">
        <v>133</v>
      </c>
      <c r="S106" s="35" t="s">
        <v>134</v>
      </c>
    </row>
    <row r="107" spans="1:19" ht="17" thickBot="1">
      <c r="A107" s="229" t="s">
        <v>135</v>
      </c>
      <c r="B107" s="228"/>
      <c r="C107" s="25">
        <v>106</v>
      </c>
      <c r="D107" s="25">
        <f>C107*0.1</f>
        <v>10.600000000000001</v>
      </c>
      <c r="E107" s="49"/>
      <c r="F107" s="23">
        <v>105</v>
      </c>
      <c r="G107" s="27">
        <f>C107+D107</f>
        <v>116.6</v>
      </c>
      <c r="H107" s="28">
        <f>O107/G107</f>
        <v>9.9485420240137179E-2</v>
      </c>
      <c r="I107" s="45">
        <f t="shared" si="44"/>
        <v>0</v>
      </c>
      <c r="J107" s="45">
        <f t="shared" si="45"/>
        <v>0</v>
      </c>
      <c r="K107" s="37">
        <f>C107*0.9</f>
        <v>95.4</v>
      </c>
      <c r="L107" s="25">
        <f>K107*0.02</f>
        <v>1.9080000000000001</v>
      </c>
      <c r="M107" s="25"/>
      <c r="N107" s="25">
        <f>K107+L107</f>
        <v>97.308000000000007</v>
      </c>
      <c r="O107" s="25">
        <f>G107-F107</f>
        <v>11.599999999999994</v>
      </c>
      <c r="P107" s="25">
        <f>F107-N107</f>
        <v>7.6919999999999931</v>
      </c>
      <c r="Q107" s="29">
        <f>P107/N107</f>
        <v>7.9047971389813704E-2</v>
      </c>
      <c r="R107" s="30" t="s">
        <v>133</v>
      </c>
      <c r="S107" s="31" t="s">
        <v>136</v>
      </c>
    </row>
    <row r="108" spans="1:19" ht="17" thickBot="1">
      <c r="A108" s="227" t="s">
        <v>137</v>
      </c>
      <c r="B108" s="228"/>
      <c r="C108" s="32">
        <v>195</v>
      </c>
      <c r="D108" s="32">
        <f>C108*0.1</f>
        <v>19.5</v>
      </c>
      <c r="E108" s="49"/>
      <c r="F108" s="23">
        <v>192</v>
      </c>
      <c r="G108" s="27">
        <f>C108+D108</f>
        <v>214.5</v>
      </c>
      <c r="H108" s="28">
        <f>O108/G108</f>
        <v>0.1048951048951049</v>
      </c>
      <c r="I108" s="44">
        <f t="shared" si="44"/>
        <v>0</v>
      </c>
      <c r="J108" s="44">
        <f t="shared" si="45"/>
        <v>0</v>
      </c>
      <c r="K108" s="39">
        <f>C108*0.9</f>
        <v>175.5</v>
      </c>
      <c r="L108" s="32">
        <f>K108*0.02</f>
        <v>3.5100000000000002</v>
      </c>
      <c r="M108" s="32"/>
      <c r="N108" s="32">
        <f>K108+L108</f>
        <v>179.01</v>
      </c>
      <c r="O108" s="32">
        <f>G108-F108</f>
        <v>22.5</v>
      </c>
      <c r="P108" s="32">
        <f>F108-N108</f>
        <v>12.990000000000009</v>
      </c>
      <c r="Q108" s="33">
        <f>P108/N108</f>
        <v>7.2565778448131446E-2</v>
      </c>
      <c r="R108" s="34" t="s">
        <v>133</v>
      </c>
      <c r="S108" s="35" t="s">
        <v>138</v>
      </c>
    </row>
    <row r="109" spans="1:19" ht="17" thickBot="1">
      <c r="A109" s="229" t="s">
        <v>139</v>
      </c>
      <c r="B109" s="228"/>
      <c r="C109" s="25">
        <v>265</v>
      </c>
      <c r="D109" s="25">
        <f>C109*0.1</f>
        <v>26.5</v>
      </c>
      <c r="E109" s="49"/>
      <c r="F109" s="23">
        <v>261</v>
      </c>
      <c r="G109" s="27">
        <f>C109+D109</f>
        <v>291.5</v>
      </c>
      <c r="H109" s="28">
        <f>O109/G109</f>
        <v>0.10463121783876501</v>
      </c>
      <c r="I109" s="45">
        <f t="shared" si="44"/>
        <v>0</v>
      </c>
      <c r="J109" s="45">
        <f t="shared" si="45"/>
        <v>0</v>
      </c>
      <c r="K109" s="37">
        <f>C109*0.9</f>
        <v>238.5</v>
      </c>
      <c r="L109" s="25">
        <f>K109*0.02</f>
        <v>4.7700000000000005</v>
      </c>
      <c r="M109" s="25"/>
      <c r="N109" s="25">
        <f>K109+L109</f>
        <v>243.27</v>
      </c>
      <c r="O109" s="25">
        <f>G109-F109</f>
        <v>30.5</v>
      </c>
      <c r="P109" s="25">
        <f>F109-N109</f>
        <v>17.72999999999999</v>
      </c>
      <c r="Q109" s="29">
        <f>P109/N109</f>
        <v>7.2881982981871943E-2</v>
      </c>
      <c r="R109" s="30" t="s">
        <v>133</v>
      </c>
      <c r="S109" s="31" t="s">
        <v>140</v>
      </c>
    </row>
    <row r="110" spans="1:19" ht="35" customHeight="1" thickBot="1">
      <c r="A110" s="261" t="s">
        <v>141</v>
      </c>
      <c r="B110" s="228"/>
      <c r="C110" s="32"/>
      <c r="D110" s="32"/>
      <c r="E110" s="49"/>
      <c r="F110" s="23"/>
      <c r="G110" s="27"/>
      <c r="H110" s="28"/>
      <c r="I110" s="44"/>
      <c r="J110" s="44"/>
      <c r="K110" s="39"/>
      <c r="L110" s="32"/>
      <c r="M110" s="32"/>
      <c r="N110" s="32"/>
      <c r="O110" s="32"/>
      <c r="P110" s="32"/>
      <c r="Q110" s="33"/>
      <c r="R110" s="34"/>
      <c r="S110" s="35"/>
    </row>
    <row r="111" spans="1:19" ht="17" thickBot="1">
      <c r="A111" s="262" t="s">
        <v>142</v>
      </c>
      <c r="B111" s="228"/>
      <c r="C111" s="25">
        <v>225</v>
      </c>
      <c r="D111" s="25">
        <f>C111*0.1</f>
        <v>22.5</v>
      </c>
      <c r="E111" s="49"/>
      <c r="F111" s="23">
        <v>222</v>
      </c>
      <c r="G111" s="27">
        <f>C111+D111</f>
        <v>247.5</v>
      </c>
      <c r="H111" s="28">
        <f>O111/G111</f>
        <v>0.10303030303030303</v>
      </c>
      <c r="I111" s="45">
        <f t="shared" si="44"/>
        <v>0</v>
      </c>
      <c r="J111" s="45">
        <f t="shared" si="45"/>
        <v>0</v>
      </c>
      <c r="K111" s="37">
        <f>C111*0.9</f>
        <v>202.5</v>
      </c>
      <c r="L111" s="25">
        <f>K111*0.02</f>
        <v>4.05</v>
      </c>
      <c r="M111" s="25"/>
      <c r="N111" s="25">
        <f>K111+L111</f>
        <v>206.55</v>
      </c>
      <c r="O111" s="25">
        <f>G111-F111</f>
        <v>25.5</v>
      </c>
      <c r="P111" s="25">
        <f>F111-N111</f>
        <v>15.449999999999989</v>
      </c>
      <c r="Q111" s="29">
        <f>P111/N111</f>
        <v>7.4800290486564933E-2</v>
      </c>
      <c r="R111" s="30" t="s">
        <v>133</v>
      </c>
      <c r="S111" s="31" t="s">
        <v>143</v>
      </c>
    </row>
    <row r="112" spans="1:19" ht="17" thickBot="1">
      <c r="A112" s="263" t="s">
        <v>144</v>
      </c>
      <c r="B112" s="228"/>
      <c r="C112" s="32">
        <v>272</v>
      </c>
      <c r="D112" s="32">
        <f>C112*0.1</f>
        <v>27.200000000000003</v>
      </c>
      <c r="E112" s="49"/>
      <c r="F112" s="23">
        <v>268</v>
      </c>
      <c r="G112" s="27">
        <f>C112+D112</f>
        <v>299.2</v>
      </c>
      <c r="H112" s="28">
        <f>O112/G112</f>
        <v>0.10427807486631013</v>
      </c>
      <c r="I112" s="44">
        <f t="shared" si="44"/>
        <v>0</v>
      </c>
      <c r="J112" s="44">
        <f t="shared" si="45"/>
        <v>0</v>
      </c>
      <c r="K112" s="39">
        <f>C112*0.9</f>
        <v>244.8</v>
      </c>
      <c r="L112" s="32">
        <f>K112*0.02</f>
        <v>4.8959999999999999</v>
      </c>
      <c r="M112" s="32"/>
      <c r="N112" s="32">
        <f>K112+L112</f>
        <v>249.696</v>
      </c>
      <c r="O112" s="32">
        <f>G112-F112</f>
        <v>31.199999999999989</v>
      </c>
      <c r="P112" s="32">
        <f>F112-N112</f>
        <v>18.304000000000002</v>
      </c>
      <c r="Q112" s="33">
        <f>P112/N112</f>
        <v>7.3305139049083701E-2</v>
      </c>
      <c r="R112" s="34" t="s">
        <v>133</v>
      </c>
      <c r="S112" s="35" t="s">
        <v>145</v>
      </c>
    </row>
    <row r="113" spans="1:19" ht="17" thickBot="1">
      <c r="A113" s="262" t="s">
        <v>146</v>
      </c>
      <c r="B113" s="228"/>
      <c r="C113" s="25">
        <v>430</v>
      </c>
      <c r="D113" s="25">
        <f>C113*0.1</f>
        <v>43</v>
      </c>
      <c r="E113" s="49"/>
      <c r="F113" s="23">
        <v>423</v>
      </c>
      <c r="G113" s="27">
        <f>C113+D113</f>
        <v>473</v>
      </c>
      <c r="H113" s="28">
        <f>O113/G113</f>
        <v>0.10570824524312897</v>
      </c>
      <c r="I113" s="45">
        <f t="shared" si="44"/>
        <v>0</v>
      </c>
      <c r="J113" s="45">
        <f t="shared" si="45"/>
        <v>0</v>
      </c>
      <c r="K113" s="37">
        <f>C113*0.9</f>
        <v>387</v>
      </c>
      <c r="L113" s="25">
        <f>K113*0.02</f>
        <v>7.74</v>
      </c>
      <c r="M113" s="25"/>
      <c r="N113" s="25">
        <f>K113+L113</f>
        <v>394.74</v>
      </c>
      <c r="O113" s="25">
        <f>G113-F113</f>
        <v>50</v>
      </c>
      <c r="P113" s="25">
        <f>F113-N113</f>
        <v>28.259999999999991</v>
      </c>
      <c r="Q113" s="29">
        <f>P113/N113</f>
        <v>7.1591427268581823E-2</v>
      </c>
      <c r="R113" s="30" t="s">
        <v>133</v>
      </c>
      <c r="S113" s="31" t="s">
        <v>147</v>
      </c>
    </row>
    <row r="114" spans="1:19" ht="17" thickBot="1">
      <c r="A114" s="263" t="s">
        <v>148</v>
      </c>
      <c r="B114" s="228"/>
      <c r="C114" s="32">
        <v>675</v>
      </c>
      <c r="D114" s="32">
        <f>C114*0.1</f>
        <v>67.5</v>
      </c>
      <c r="E114" s="49"/>
      <c r="F114" s="23">
        <v>664</v>
      </c>
      <c r="G114" s="27">
        <f>C114+D114</f>
        <v>742.5</v>
      </c>
      <c r="H114" s="28">
        <f>O114/G114</f>
        <v>0.10572390572390572</v>
      </c>
      <c r="I114" s="44">
        <f t="shared" si="44"/>
        <v>0</v>
      </c>
      <c r="J114" s="44">
        <f t="shared" si="45"/>
        <v>0</v>
      </c>
      <c r="K114" s="39">
        <f>C114*0.9</f>
        <v>607.5</v>
      </c>
      <c r="L114" s="32">
        <f>K114*0.02</f>
        <v>12.15</v>
      </c>
      <c r="M114" s="32"/>
      <c r="N114" s="32">
        <f>K114+L114</f>
        <v>619.65</v>
      </c>
      <c r="O114" s="32">
        <f>G114-F114</f>
        <v>78.5</v>
      </c>
      <c r="P114" s="32">
        <f>F114-N114</f>
        <v>44.350000000000023</v>
      </c>
      <c r="Q114" s="33">
        <f>P114/N114</f>
        <v>7.1572661986605376E-2</v>
      </c>
      <c r="R114" s="34" t="s">
        <v>133</v>
      </c>
      <c r="S114" s="35" t="s">
        <v>149</v>
      </c>
    </row>
    <row r="115" spans="1:19" ht="17" thickBot="1">
      <c r="A115" s="238" t="s">
        <v>150</v>
      </c>
      <c r="B115" s="232"/>
      <c r="C115" s="46"/>
      <c r="D115" s="46"/>
      <c r="E115" s="22"/>
      <c r="F115" s="23"/>
      <c r="G115" s="24"/>
      <c r="H115" s="28"/>
      <c r="I115" s="238"/>
      <c r="J115" s="232"/>
      <c r="K115" s="238"/>
      <c r="L115" s="232"/>
      <c r="M115" s="238"/>
      <c r="N115" s="232"/>
      <c r="O115" s="238"/>
      <c r="P115" s="232"/>
      <c r="Q115" s="238"/>
      <c r="R115" s="232"/>
      <c r="S115" s="153"/>
    </row>
    <row r="116" spans="1:19" ht="34" customHeight="1" thickBot="1">
      <c r="A116" s="242" t="s">
        <v>151</v>
      </c>
      <c r="B116" s="228"/>
      <c r="C116" s="25"/>
      <c r="D116" s="25"/>
      <c r="E116" s="38"/>
      <c r="F116" s="23"/>
      <c r="G116" s="27"/>
      <c r="H116" s="28"/>
      <c r="I116" s="37"/>
      <c r="J116" s="37"/>
      <c r="K116" s="37"/>
      <c r="L116" s="25"/>
      <c r="M116" s="25"/>
      <c r="N116" s="25"/>
      <c r="O116" s="25"/>
      <c r="P116" s="25"/>
      <c r="Q116" s="29"/>
      <c r="R116" s="30"/>
      <c r="S116" s="31"/>
    </row>
    <row r="117" spans="1:19" ht="17" thickBot="1">
      <c r="A117" s="227" t="s">
        <v>152</v>
      </c>
      <c r="B117" s="228"/>
      <c r="C117" s="32">
        <v>104</v>
      </c>
      <c r="D117" s="32">
        <f t="shared" ref="D117:D122" si="46">C117*0.1</f>
        <v>10.4</v>
      </c>
      <c r="E117" s="49"/>
      <c r="F117" s="23">
        <v>103</v>
      </c>
      <c r="G117" s="27">
        <f t="shared" ref="G117:G122" si="47">C117+D117</f>
        <v>114.4</v>
      </c>
      <c r="H117" s="28">
        <f t="shared" ref="H117:H122" si="48">O117/G117</f>
        <v>9.965034965034969E-2</v>
      </c>
      <c r="I117" s="44">
        <f t="shared" ref="I116:I122" si="49">F117*E117</f>
        <v>0</v>
      </c>
      <c r="J117" s="44">
        <f t="shared" ref="J116:J122" si="50">(G117-F117)*E117</f>
        <v>0</v>
      </c>
      <c r="K117" s="39">
        <f t="shared" ref="K117:K122" si="51">C117*0.9</f>
        <v>93.600000000000009</v>
      </c>
      <c r="L117" s="32">
        <f t="shared" ref="L117:L122" si="52">K117*0.02</f>
        <v>1.8720000000000001</v>
      </c>
      <c r="M117" s="32"/>
      <c r="N117" s="32">
        <f t="shared" ref="N117:N122" si="53">K117+L117</f>
        <v>95.472000000000008</v>
      </c>
      <c r="O117" s="32">
        <f t="shared" ref="O117:O122" si="54">G117-F117</f>
        <v>11.400000000000006</v>
      </c>
      <c r="P117" s="32">
        <f t="shared" ref="P117:P122" si="55">F117-N117</f>
        <v>7.5279999999999916</v>
      </c>
      <c r="Q117" s="33">
        <f t="shared" ref="Q117:Q122" si="56">P117/N117</f>
        <v>7.8850343556225819E-2</v>
      </c>
      <c r="R117" s="34" t="s">
        <v>133</v>
      </c>
      <c r="S117" s="35" t="s">
        <v>153</v>
      </c>
    </row>
    <row r="118" spans="1:19" ht="17" thickBot="1">
      <c r="A118" s="229" t="s">
        <v>154</v>
      </c>
      <c r="B118" s="228"/>
      <c r="C118" s="25">
        <v>118</v>
      </c>
      <c r="D118" s="25">
        <f t="shared" si="46"/>
        <v>11.8</v>
      </c>
      <c r="E118" s="49"/>
      <c r="F118" s="23">
        <v>116</v>
      </c>
      <c r="G118" s="27">
        <f t="shared" si="47"/>
        <v>129.80000000000001</v>
      </c>
      <c r="H118" s="28">
        <f t="shared" si="48"/>
        <v>0.10631741140215724</v>
      </c>
      <c r="I118" s="45">
        <f t="shared" si="49"/>
        <v>0</v>
      </c>
      <c r="J118" s="45">
        <f t="shared" si="50"/>
        <v>0</v>
      </c>
      <c r="K118" s="37">
        <f t="shared" si="51"/>
        <v>106.2</v>
      </c>
      <c r="L118" s="25">
        <f t="shared" si="52"/>
        <v>2.1240000000000001</v>
      </c>
      <c r="M118" s="25"/>
      <c r="N118" s="25">
        <f t="shared" si="53"/>
        <v>108.324</v>
      </c>
      <c r="O118" s="25">
        <f t="shared" si="54"/>
        <v>13.800000000000011</v>
      </c>
      <c r="P118" s="25">
        <f t="shared" si="55"/>
        <v>7.6760000000000019</v>
      </c>
      <c r="Q118" s="29">
        <f t="shared" si="56"/>
        <v>7.0861489605258315E-2</v>
      </c>
      <c r="R118" s="30" t="s">
        <v>133</v>
      </c>
      <c r="S118" s="31" t="s">
        <v>155</v>
      </c>
    </row>
    <row r="119" spans="1:19" ht="17" thickBot="1">
      <c r="A119" s="227" t="s">
        <v>156</v>
      </c>
      <c r="B119" s="228"/>
      <c r="C119" s="32">
        <v>41</v>
      </c>
      <c r="D119" s="32">
        <f t="shared" si="46"/>
        <v>4.1000000000000005</v>
      </c>
      <c r="E119" s="49"/>
      <c r="F119" s="23">
        <v>41</v>
      </c>
      <c r="G119" s="27">
        <f t="shared" si="47"/>
        <v>45.1</v>
      </c>
      <c r="H119" s="28">
        <f t="shared" si="48"/>
        <v>9.0909090909090939E-2</v>
      </c>
      <c r="I119" s="44">
        <f t="shared" si="49"/>
        <v>0</v>
      </c>
      <c r="J119" s="44">
        <f t="shared" si="50"/>
        <v>0</v>
      </c>
      <c r="K119" s="39">
        <f t="shared" si="51"/>
        <v>36.9</v>
      </c>
      <c r="L119" s="32">
        <f t="shared" si="52"/>
        <v>0.73799999999999999</v>
      </c>
      <c r="M119" s="32"/>
      <c r="N119" s="32">
        <f t="shared" si="53"/>
        <v>37.637999999999998</v>
      </c>
      <c r="O119" s="32">
        <f t="shared" si="54"/>
        <v>4.1000000000000014</v>
      </c>
      <c r="P119" s="32">
        <f t="shared" si="55"/>
        <v>3.3620000000000019</v>
      </c>
      <c r="Q119" s="33">
        <f t="shared" si="56"/>
        <v>8.932461873638349E-2</v>
      </c>
      <c r="R119" s="34" t="s">
        <v>133</v>
      </c>
      <c r="S119" s="35" t="s">
        <v>157</v>
      </c>
    </row>
    <row r="120" spans="1:19" ht="17" thickBot="1">
      <c r="A120" s="229" t="s">
        <v>158</v>
      </c>
      <c r="B120" s="228"/>
      <c r="C120" s="25">
        <v>47.5</v>
      </c>
      <c r="D120" s="25">
        <f t="shared" si="46"/>
        <v>4.75</v>
      </c>
      <c r="E120" s="49"/>
      <c r="F120" s="23">
        <v>47</v>
      </c>
      <c r="G120" s="27">
        <f t="shared" si="47"/>
        <v>52.25</v>
      </c>
      <c r="H120" s="28">
        <f t="shared" si="48"/>
        <v>0.10047846889952153</v>
      </c>
      <c r="I120" s="45">
        <f t="shared" si="49"/>
        <v>0</v>
      </c>
      <c r="J120" s="45">
        <f t="shared" si="50"/>
        <v>0</v>
      </c>
      <c r="K120" s="37">
        <f t="shared" si="51"/>
        <v>42.75</v>
      </c>
      <c r="L120" s="25">
        <f t="shared" si="52"/>
        <v>0.85499999999999998</v>
      </c>
      <c r="M120" s="25"/>
      <c r="N120" s="25">
        <f t="shared" si="53"/>
        <v>43.604999999999997</v>
      </c>
      <c r="O120" s="25">
        <f t="shared" si="54"/>
        <v>5.25</v>
      </c>
      <c r="P120" s="25">
        <f t="shared" si="55"/>
        <v>3.3950000000000031</v>
      </c>
      <c r="Q120" s="29">
        <f t="shared" si="56"/>
        <v>7.7858043802316326E-2</v>
      </c>
      <c r="R120" s="30" t="s">
        <v>133</v>
      </c>
      <c r="S120" s="31" t="s">
        <v>159</v>
      </c>
    </row>
    <row r="121" spans="1:19" ht="17" thickBot="1">
      <c r="A121" s="227" t="s">
        <v>160</v>
      </c>
      <c r="B121" s="228"/>
      <c r="C121" s="32">
        <v>125</v>
      </c>
      <c r="D121" s="32">
        <f t="shared" si="46"/>
        <v>12.5</v>
      </c>
      <c r="E121" s="49"/>
      <c r="F121" s="23">
        <v>123</v>
      </c>
      <c r="G121" s="27">
        <f t="shared" si="47"/>
        <v>137.5</v>
      </c>
      <c r="H121" s="28">
        <f t="shared" si="48"/>
        <v>0.10545454545454545</v>
      </c>
      <c r="I121" s="44">
        <f t="shared" si="49"/>
        <v>0</v>
      </c>
      <c r="J121" s="44">
        <f t="shared" si="50"/>
        <v>0</v>
      </c>
      <c r="K121" s="39">
        <f t="shared" si="51"/>
        <v>112.5</v>
      </c>
      <c r="L121" s="32">
        <f t="shared" si="52"/>
        <v>2.25</v>
      </c>
      <c r="M121" s="32"/>
      <c r="N121" s="32">
        <f t="shared" si="53"/>
        <v>114.75</v>
      </c>
      <c r="O121" s="32">
        <f t="shared" si="54"/>
        <v>14.5</v>
      </c>
      <c r="P121" s="32">
        <f t="shared" si="55"/>
        <v>8.25</v>
      </c>
      <c r="Q121" s="33">
        <f t="shared" si="56"/>
        <v>7.1895424836601302E-2</v>
      </c>
      <c r="R121" s="34" t="s">
        <v>133</v>
      </c>
      <c r="S121" s="35" t="s">
        <v>161</v>
      </c>
    </row>
    <row r="122" spans="1:19" ht="17" thickBot="1">
      <c r="A122" s="229" t="s">
        <v>162</v>
      </c>
      <c r="B122" s="228"/>
      <c r="C122" s="25">
        <v>138</v>
      </c>
      <c r="D122" s="25">
        <f t="shared" si="46"/>
        <v>13.8</v>
      </c>
      <c r="E122" s="49"/>
      <c r="F122" s="23">
        <v>136</v>
      </c>
      <c r="G122" s="27">
        <f t="shared" si="47"/>
        <v>151.80000000000001</v>
      </c>
      <c r="H122" s="28">
        <f t="shared" si="48"/>
        <v>0.10408432147562589</v>
      </c>
      <c r="I122" s="45">
        <f t="shared" si="49"/>
        <v>0</v>
      </c>
      <c r="J122" s="45">
        <f t="shared" si="50"/>
        <v>0</v>
      </c>
      <c r="K122" s="37">
        <f t="shared" si="51"/>
        <v>124.2</v>
      </c>
      <c r="L122" s="25">
        <f t="shared" si="52"/>
        <v>2.484</v>
      </c>
      <c r="M122" s="25"/>
      <c r="N122" s="25">
        <f t="shared" si="53"/>
        <v>126.684</v>
      </c>
      <c r="O122" s="25">
        <f t="shared" si="54"/>
        <v>15.800000000000011</v>
      </c>
      <c r="P122" s="25">
        <f t="shared" si="55"/>
        <v>9.3160000000000025</v>
      </c>
      <c r="Q122" s="29">
        <f t="shared" si="56"/>
        <v>7.3537305421363414E-2</v>
      </c>
      <c r="R122" s="30" t="s">
        <v>133</v>
      </c>
      <c r="S122" s="31" t="s">
        <v>163</v>
      </c>
    </row>
    <row r="123" spans="1:19" ht="17" thickBot="1">
      <c r="A123" s="238" t="s">
        <v>164</v>
      </c>
      <c r="B123" s="232"/>
      <c r="C123" s="46"/>
      <c r="D123" s="46"/>
      <c r="E123" s="22"/>
      <c r="F123" s="23"/>
      <c r="G123" s="24"/>
      <c r="H123" s="28"/>
      <c r="I123" s="238"/>
      <c r="J123" s="232"/>
      <c r="K123" s="238"/>
      <c r="L123" s="232"/>
      <c r="M123" s="238"/>
      <c r="N123" s="232"/>
      <c r="O123" s="238"/>
      <c r="P123" s="232"/>
      <c r="Q123" s="238"/>
      <c r="R123" s="232"/>
      <c r="S123" s="153"/>
    </row>
    <row r="124" spans="1:19" ht="97" customHeight="1" thickBot="1">
      <c r="A124" s="264" t="s">
        <v>165</v>
      </c>
      <c r="B124" s="265"/>
      <c r="C124" s="60"/>
      <c r="D124" s="60"/>
      <c r="E124" s="38"/>
      <c r="F124" s="61"/>
      <c r="G124" s="28"/>
      <c r="H124" s="28"/>
      <c r="I124" s="62"/>
      <c r="J124" s="62"/>
      <c r="K124" s="62"/>
      <c r="L124" s="63"/>
      <c r="M124" s="63"/>
      <c r="N124" s="63"/>
      <c r="O124" s="63"/>
      <c r="P124" s="63"/>
      <c r="Q124" s="64"/>
      <c r="R124" s="63"/>
      <c r="S124" s="65"/>
    </row>
    <row r="125" spans="1:19" ht="17" thickBot="1">
      <c r="A125" s="266" t="s">
        <v>166</v>
      </c>
      <c r="B125" s="228"/>
      <c r="C125" s="66"/>
      <c r="D125" s="66"/>
      <c r="E125" s="38"/>
      <c r="F125" s="66"/>
      <c r="G125" s="67"/>
      <c r="H125" s="68"/>
      <c r="I125" s="69"/>
      <c r="J125" s="69"/>
      <c r="K125" s="69"/>
      <c r="L125" s="70"/>
      <c r="M125" s="70"/>
      <c r="N125" s="70"/>
      <c r="O125" s="70"/>
      <c r="P125" s="70"/>
      <c r="Q125" s="71"/>
      <c r="R125" s="70"/>
      <c r="S125" s="72"/>
    </row>
    <row r="126" spans="1:19" ht="17" thickBot="1">
      <c r="A126" s="229" t="s">
        <v>167</v>
      </c>
      <c r="B126" s="228"/>
      <c r="C126" s="25">
        <v>149</v>
      </c>
      <c r="D126" s="25">
        <f>C126*0.1</f>
        <v>14.9</v>
      </c>
      <c r="E126" s="49"/>
      <c r="F126" s="23">
        <v>147</v>
      </c>
      <c r="G126" s="27">
        <f>C126+D126</f>
        <v>163.9</v>
      </c>
      <c r="H126" s="28">
        <f>O126/G126</f>
        <v>0.10311165344722395</v>
      </c>
      <c r="I126" s="45">
        <f>F126*E126</f>
        <v>0</v>
      </c>
      <c r="J126" s="45">
        <f>(G126-F126)*E126</f>
        <v>0</v>
      </c>
      <c r="K126" s="37">
        <f>C126*0.9</f>
        <v>134.1</v>
      </c>
      <c r="L126" s="25">
        <f>K126*0.02</f>
        <v>2.6819999999999999</v>
      </c>
      <c r="M126" s="25"/>
      <c r="N126" s="25">
        <f>K126+L126</f>
        <v>136.78199999999998</v>
      </c>
      <c r="O126" s="25">
        <f>G126-F126</f>
        <v>16.900000000000006</v>
      </c>
      <c r="P126" s="25">
        <f>F126-N126</f>
        <v>10.218000000000018</v>
      </c>
      <c r="Q126" s="29">
        <f>P126/N126</f>
        <v>7.4702811773479108E-2</v>
      </c>
      <c r="R126" s="30" t="s">
        <v>133</v>
      </c>
      <c r="S126" s="31" t="s">
        <v>168</v>
      </c>
    </row>
    <row r="127" spans="1:19" ht="17" thickBot="1">
      <c r="A127" s="227" t="s">
        <v>169</v>
      </c>
      <c r="B127" s="228"/>
      <c r="C127" s="32">
        <v>148</v>
      </c>
      <c r="D127" s="32">
        <f>C127*0.1</f>
        <v>14.8</v>
      </c>
      <c r="E127" s="49"/>
      <c r="F127" s="23">
        <v>146</v>
      </c>
      <c r="G127" s="27">
        <f>C127+D127</f>
        <v>162.80000000000001</v>
      </c>
      <c r="H127" s="28">
        <f>O127/G127</f>
        <v>0.10319410319410326</v>
      </c>
      <c r="I127" s="44">
        <f>F127*E127</f>
        <v>0</v>
      </c>
      <c r="J127" s="44">
        <f>(G127-F127)*E127</f>
        <v>0</v>
      </c>
      <c r="K127" s="39">
        <f>C127*0.9</f>
        <v>133.20000000000002</v>
      </c>
      <c r="L127" s="32">
        <f>K127*0.02</f>
        <v>2.6640000000000006</v>
      </c>
      <c r="M127" s="32"/>
      <c r="N127" s="32">
        <f>K127+L127</f>
        <v>135.864</v>
      </c>
      <c r="O127" s="32">
        <f>G127-F127</f>
        <v>16.800000000000011</v>
      </c>
      <c r="P127" s="32">
        <f>F127-N127</f>
        <v>10.135999999999996</v>
      </c>
      <c r="Q127" s="33">
        <f>P127/N127</f>
        <v>7.4604015780486338E-2</v>
      </c>
      <c r="R127" s="34" t="s">
        <v>133</v>
      </c>
      <c r="S127" s="35" t="s">
        <v>170</v>
      </c>
    </row>
    <row r="128" spans="1:19" ht="17" thickBot="1">
      <c r="A128" s="229" t="s">
        <v>171</v>
      </c>
      <c r="B128" s="228"/>
      <c r="C128" s="25">
        <v>145</v>
      </c>
      <c r="D128" s="25">
        <f>C128*0.1</f>
        <v>14.5</v>
      </c>
      <c r="E128" s="49"/>
      <c r="F128" s="23">
        <v>143</v>
      </c>
      <c r="G128" s="27">
        <f>C128+D128</f>
        <v>159.5</v>
      </c>
      <c r="H128" s="28">
        <f>O128/G128</f>
        <v>0.10344827586206896</v>
      </c>
      <c r="I128" s="45">
        <f>F128*E128</f>
        <v>0</v>
      </c>
      <c r="J128" s="45">
        <f>(G128-F128)*E128</f>
        <v>0</v>
      </c>
      <c r="K128" s="37">
        <f>C128*0.9</f>
        <v>130.5</v>
      </c>
      <c r="L128" s="25">
        <f>K128*0.02</f>
        <v>2.61</v>
      </c>
      <c r="M128" s="25"/>
      <c r="N128" s="25">
        <f>K128+L128</f>
        <v>133.11000000000001</v>
      </c>
      <c r="O128" s="25">
        <f>G128-F128</f>
        <v>16.5</v>
      </c>
      <c r="P128" s="25">
        <f>F128-N128</f>
        <v>9.8899999999999864</v>
      </c>
      <c r="Q128" s="29">
        <f>P128/N128</f>
        <v>7.4299451581398737E-2</v>
      </c>
      <c r="R128" s="30" t="s">
        <v>133</v>
      </c>
      <c r="S128" s="31" t="s">
        <v>172</v>
      </c>
    </row>
    <row r="129" spans="1:19" ht="17" thickBot="1">
      <c r="A129" s="227" t="s">
        <v>173</v>
      </c>
      <c r="B129" s="228"/>
      <c r="C129" s="32">
        <v>165</v>
      </c>
      <c r="D129" s="32">
        <f>C129*0.1</f>
        <v>16.5</v>
      </c>
      <c r="E129" s="49"/>
      <c r="F129" s="23">
        <v>163</v>
      </c>
      <c r="G129" s="27">
        <f>C129+D129</f>
        <v>181.5</v>
      </c>
      <c r="H129" s="28">
        <f>O129/G129</f>
        <v>0.10192837465564739</v>
      </c>
      <c r="I129" s="44">
        <f>F129*E129</f>
        <v>0</v>
      </c>
      <c r="J129" s="44">
        <f>(G129-F129)*E129</f>
        <v>0</v>
      </c>
      <c r="K129" s="39">
        <f>C129*0.9</f>
        <v>148.5</v>
      </c>
      <c r="L129" s="32">
        <f>K129*0.02</f>
        <v>2.97</v>
      </c>
      <c r="M129" s="32"/>
      <c r="N129" s="32">
        <f>K129+L129</f>
        <v>151.47</v>
      </c>
      <c r="O129" s="32">
        <f>G129-F129</f>
        <v>18.5</v>
      </c>
      <c r="P129" s="32">
        <f>F129-N129</f>
        <v>11.530000000000001</v>
      </c>
      <c r="Q129" s="33">
        <f>P129/N129</f>
        <v>7.6120683963821226E-2</v>
      </c>
      <c r="R129" s="34" t="s">
        <v>133</v>
      </c>
      <c r="S129" s="35" t="s">
        <v>174</v>
      </c>
    </row>
    <row r="130" spans="1:19" ht="17" thickBot="1">
      <c r="A130" s="266" t="s">
        <v>175</v>
      </c>
      <c r="B130" s="228"/>
      <c r="C130" s="66"/>
      <c r="D130" s="66"/>
      <c r="E130" s="38"/>
      <c r="F130" s="66"/>
      <c r="G130" s="67"/>
      <c r="H130" s="68"/>
      <c r="I130" s="69"/>
      <c r="J130" s="69"/>
      <c r="K130" s="69"/>
      <c r="L130" s="70"/>
      <c r="M130" s="70"/>
      <c r="N130" s="70"/>
      <c r="O130" s="70"/>
      <c r="P130" s="70"/>
      <c r="Q130" s="71"/>
      <c r="R130" s="73"/>
      <c r="S130" s="74"/>
    </row>
    <row r="131" spans="1:19" ht="17" thickBot="1">
      <c r="A131" s="227" t="s">
        <v>176</v>
      </c>
      <c r="B131" s="228"/>
      <c r="C131" s="32">
        <v>148</v>
      </c>
      <c r="D131" s="32">
        <f>C131*0.1</f>
        <v>14.8</v>
      </c>
      <c r="E131" s="49"/>
      <c r="F131" s="23">
        <v>146</v>
      </c>
      <c r="G131" s="27">
        <f>C131+D131</f>
        <v>162.80000000000001</v>
      </c>
      <c r="H131" s="28">
        <f>O131/G131</f>
        <v>0.10319410319410326</v>
      </c>
      <c r="I131" s="44">
        <f>F131*E131</f>
        <v>0</v>
      </c>
      <c r="J131" s="44">
        <f>(G131-F131)*E131</f>
        <v>0</v>
      </c>
      <c r="K131" s="39">
        <f>C131*0.9</f>
        <v>133.20000000000002</v>
      </c>
      <c r="L131" s="32">
        <f>K131*0.02</f>
        <v>2.6640000000000006</v>
      </c>
      <c r="M131" s="32"/>
      <c r="N131" s="32">
        <f>K131+L131</f>
        <v>135.864</v>
      </c>
      <c r="O131" s="32">
        <f>G131-F131</f>
        <v>16.800000000000011</v>
      </c>
      <c r="P131" s="32">
        <f>F131-N131</f>
        <v>10.135999999999996</v>
      </c>
      <c r="Q131" s="33">
        <f>P131/N131</f>
        <v>7.4604015780486338E-2</v>
      </c>
      <c r="R131" s="34" t="s">
        <v>133</v>
      </c>
      <c r="S131" s="35" t="s">
        <v>177</v>
      </c>
    </row>
    <row r="132" spans="1:19" ht="17" thickBot="1">
      <c r="A132" s="229" t="s">
        <v>178</v>
      </c>
      <c r="B132" s="228"/>
      <c r="C132" s="25">
        <v>145</v>
      </c>
      <c r="D132" s="25">
        <f>C132*0.1</f>
        <v>14.5</v>
      </c>
      <c r="E132" s="49"/>
      <c r="F132" s="23">
        <v>142</v>
      </c>
      <c r="G132" s="27">
        <f>C132+D132</f>
        <v>159.5</v>
      </c>
      <c r="H132" s="28">
        <f>O132/G132</f>
        <v>0.109717868338558</v>
      </c>
      <c r="I132" s="45">
        <f>F132*E132</f>
        <v>0</v>
      </c>
      <c r="J132" s="45">
        <f>(G132-F132)*E132</f>
        <v>0</v>
      </c>
      <c r="K132" s="37">
        <f>C132*0.9</f>
        <v>130.5</v>
      </c>
      <c r="L132" s="25">
        <f>K132*0.02</f>
        <v>2.61</v>
      </c>
      <c r="M132" s="25"/>
      <c r="N132" s="25">
        <f>K132+L132</f>
        <v>133.11000000000001</v>
      </c>
      <c r="O132" s="25">
        <f>G132-F132</f>
        <v>17.5</v>
      </c>
      <c r="P132" s="25">
        <f>F132-N132</f>
        <v>8.8899999999999864</v>
      </c>
      <c r="Q132" s="29">
        <f>P132/N132</f>
        <v>6.678686800390643E-2</v>
      </c>
      <c r="R132" s="30" t="s">
        <v>133</v>
      </c>
      <c r="S132" s="31" t="s">
        <v>179</v>
      </c>
    </row>
    <row r="133" spans="1:19" ht="17" thickBot="1">
      <c r="A133" s="266" t="s">
        <v>180</v>
      </c>
      <c r="B133" s="228"/>
      <c r="C133" s="66"/>
      <c r="D133" s="66"/>
      <c r="E133" s="38"/>
      <c r="F133" s="66"/>
      <c r="G133" s="67"/>
      <c r="H133" s="68"/>
      <c r="I133" s="69"/>
      <c r="J133" s="69"/>
      <c r="K133" s="69"/>
      <c r="L133" s="70"/>
      <c r="M133" s="70"/>
      <c r="N133" s="70"/>
      <c r="O133" s="70"/>
      <c r="P133" s="70"/>
      <c r="Q133" s="71"/>
      <c r="R133" s="73"/>
      <c r="S133" s="74"/>
    </row>
    <row r="134" spans="1:19" ht="17" thickBot="1">
      <c r="A134" s="229" t="s">
        <v>181</v>
      </c>
      <c r="B134" s="228"/>
      <c r="C134" s="25">
        <v>145</v>
      </c>
      <c r="D134" s="25">
        <f t="shared" ref="D134:D139" si="57">C134*0.1</f>
        <v>14.5</v>
      </c>
      <c r="E134" s="49"/>
      <c r="F134" s="23">
        <v>142</v>
      </c>
      <c r="G134" s="27">
        <f t="shared" ref="G134:G139" si="58">C134+D134</f>
        <v>159.5</v>
      </c>
      <c r="H134" s="28">
        <f t="shared" ref="H134:H139" si="59">O134/G134</f>
        <v>0.109717868338558</v>
      </c>
      <c r="I134" s="45">
        <f t="shared" ref="I134:I139" si="60">F134*E134</f>
        <v>0</v>
      </c>
      <c r="J134" s="45">
        <f t="shared" ref="J134:J139" si="61">(G134-F134)*E134</f>
        <v>0</v>
      </c>
      <c r="K134" s="37">
        <f t="shared" ref="K134:K139" si="62">C134*0.9</f>
        <v>130.5</v>
      </c>
      <c r="L134" s="25">
        <f t="shared" ref="L134:L139" si="63">K134*0.02</f>
        <v>2.61</v>
      </c>
      <c r="M134" s="25"/>
      <c r="N134" s="25">
        <f t="shared" ref="N134:N139" si="64">K134+L134</f>
        <v>133.11000000000001</v>
      </c>
      <c r="O134" s="25">
        <f t="shared" ref="O134:O139" si="65">G134-F134</f>
        <v>17.5</v>
      </c>
      <c r="P134" s="25">
        <f t="shared" ref="P134:P139" si="66">F134-N134</f>
        <v>8.8899999999999864</v>
      </c>
      <c r="Q134" s="29">
        <f t="shared" ref="Q134:Q139" si="67">P134/N134</f>
        <v>6.678686800390643E-2</v>
      </c>
      <c r="R134" s="30" t="s">
        <v>133</v>
      </c>
      <c r="S134" s="31" t="s">
        <v>182</v>
      </c>
    </row>
    <row r="135" spans="1:19" ht="17" thickBot="1">
      <c r="A135" s="227" t="s">
        <v>183</v>
      </c>
      <c r="B135" s="228"/>
      <c r="C135" s="32">
        <v>165</v>
      </c>
      <c r="D135" s="32">
        <f t="shared" si="57"/>
        <v>16.5</v>
      </c>
      <c r="E135" s="49"/>
      <c r="F135" s="23">
        <v>161</v>
      </c>
      <c r="G135" s="27">
        <f t="shared" si="58"/>
        <v>181.5</v>
      </c>
      <c r="H135" s="28">
        <f t="shared" si="59"/>
        <v>0.11294765840220386</v>
      </c>
      <c r="I135" s="44">
        <f t="shared" si="60"/>
        <v>0</v>
      </c>
      <c r="J135" s="44">
        <f t="shared" si="61"/>
        <v>0</v>
      </c>
      <c r="K135" s="39">
        <f t="shared" si="62"/>
        <v>148.5</v>
      </c>
      <c r="L135" s="32">
        <f t="shared" si="63"/>
        <v>2.97</v>
      </c>
      <c r="M135" s="32"/>
      <c r="N135" s="32">
        <f t="shared" si="64"/>
        <v>151.47</v>
      </c>
      <c r="O135" s="32">
        <f t="shared" si="65"/>
        <v>20.5</v>
      </c>
      <c r="P135" s="32">
        <f t="shared" si="66"/>
        <v>9.5300000000000011</v>
      </c>
      <c r="Q135" s="33">
        <f t="shared" si="67"/>
        <v>6.2916749191259003E-2</v>
      </c>
      <c r="R135" s="34" t="s">
        <v>133</v>
      </c>
      <c r="S135" s="35" t="s">
        <v>184</v>
      </c>
    </row>
    <row r="136" spans="1:19" ht="17" thickBot="1">
      <c r="A136" s="229" t="s">
        <v>185</v>
      </c>
      <c r="B136" s="228"/>
      <c r="C136" s="25">
        <v>145</v>
      </c>
      <c r="D136" s="25">
        <f t="shared" si="57"/>
        <v>14.5</v>
      </c>
      <c r="E136" s="49"/>
      <c r="F136" s="23">
        <v>142</v>
      </c>
      <c r="G136" s="27">
        <f t="shared" si="58"/>
        <v>159.5</v>
      </c>
      <c r="H136" s="28">
        <f t="shared" si="59"/>
        <v>0.109717868338558</v>
      </c>
      <c r="I136" s="45">
        <f t="shared" si="60"/>
        <v>0</v>
      </c>
      <c r="J136" s="45">
        <f t="shared" si="61"/>
        <v>0</v>
      </c>
      <c r="K136" s="37">
        <f t="shared" si="62"/>
        <v>130.5</v>
      </c>
      <c r="L136" s="25">
        <f t="shared" si="63"/>
        <v>2.61</v>
      </c>
      <c r="M136" s="25"/>
      <c r="N136" s="25">
        <f t="shared" si="64"/>
        <v>133.11000000000001</v>
      </c>
      <c r="O136" s="25">
        <f t="shared" si="65"/>
        <v>17.5</v>
      </c>
      <c r="P136" s="25">
        <f t="shared" si="66"/>
        <v>8.8899999999999864</v>
      </c>
      <c r="Q136" s="29">
        <f t="shared" si="67"/>
        <v>6.678686800390643E-2</v>
      </c>
      <c r="R136" s="30" t="s">
        <v>133</v>
      </c>
      <c r="S136" s="31" t="s">
        <v>186</v>
      </c>
    </row>
    <row r="137" spans="1:19" ht="17" thickBot="1">
      <c r="A137" s="227" t="s">
        <v>187</v>
      </c>
      <c r="B137" s="228"/>
      <c r="C137" s="32">
        <v>145</v>
      </c>
      <c r="D137" s="32">
        <f t="shared" si="57"/>
        <v>14.5</v>
      </c>
      <c r="E137" s="49"/>
      <c r="F137" s="23">
        <v>142</v>
      </c>
      <c r="G137" s="27">
        <f t="shared" si="58"/>
        <v>159.5</v>
      </c>
      <c r="H137" s="28">
        <f t="shared" si="59"/>
        <v>0.109717868338558</v>
      </c>
      <c r="I137" s="44">
        <f t="shared" si="60"/>
        <v>0</v>
      </c>
      <c r="J137" s="44">
        <f t="shared" si="61"/>
        <v>0</v>
      </c>
      <c r="K137" s="39">
        <f t="shared" si="62"/>
        <v>130.5</v>
      </c>
      <c r="L137" s="32">
        <f t="shared" si="63"/>
        <v>2.61</v>
      </c>
      <c r="M137" s="32"/>
      <c r="N137" s="32">
        <f t="shared" si="64"/>
        <v>133.11000000000001</v>
      </c>
      <c r="O137" s="32">
        <f t="shared" si="65"/>
        <v>17.5</v>
      </c>
      <c r="P137" s="32">
        <f t="shared" si="66"/>
        <v>8.8899999999999864</v>
      </c>
      <c r="Q137" s="33">
        <f t="shared" si="67"/>
        <v>6.678686800390643E-2</v>
      </c>
      <c r="R137" s="34" t="s">
        <v>133</v>
      </c>
      <c r="S137" s="35" t="s">
        <v>188</v>
      </c>
    </row>
    <row r="138" spans="1:19" ht="17" thickBot="1">
      <c r="A138" s="229" t="s">
        <v>189</v>
      </c>
      <c r="B138" s="228"/>
      <c r="C138" s="25">
        <v>145</v>
      </c>
      <c r="D138" s="25">
        <f t="shared" si="57"/>
        <v>14.5</v>
      </c>
      <c r="E138" s="49"/>
      <c r="F138" s="23">
        <v>142</v>
      </c>
      <c r="G138" s="27">
        <f t="shared" si="58"/>
        <v>159.5</v>
      </c>
      <c r="H138" s="28">
        <f t="shared" si="59"/>
        <v>0.109717868338558</v>
      </c>
      <c r="I138" s="45">
        <f t="shared" si="60"/>
        <v>0</v>
      </c>
      <c r="J138" s="45">
        <f t="shared" si="61"/>
        <v>0</v>
      </c>
      <c r="K138" s="37">
        <f t="shared" si="62"/>
        <v>130.5</v>
      </c>
      <c r="L138" s="25">
        <f t="shared" si="63"/>
        <v>2.61</v>
      </c>
      <c r="M138" s="25"/>
      <c r="N138" s="25">
        <f t="shared" si="64"/>
        <v>133.11000000000001</v>
      </c>
      <c r="O138" s="25">
        <f t="shared" si="65"/>
        <v>17.5</v>
      </c>
      <c r="P138" s="25">
        <f t="shared" si="66"/>
        <v>8.8899999999999864</v>
      </c>
      <c r="Q138" s="29">
        <f t="shared" si="67"/>
        <v>6.678686800390643E-2</v>
      </c>
      <c r="R138" s="30" t="s">
        <v>133</v>
      </c>
      <c r="S138" s="31" t="s">
        <v>190</v>
      </c>
    </row>
    <row r="139" spans="1:19" ht="17" thickBot="1">
      <c r="A139" s="227" t="s">
        <v>191</v>
      </c>
      <c r="B139" s="228"/>
      <c r="C139" s="32">
        <v>145</v>
      </c>
      <c r="D139" s="32">
        <f t="shared" si="57"/>
        <v>14.5</v>
      </c>
      <c r="E139" s="49"/>
      <c r="F139" s="23">
        <v>142</v>
      </c>
      <c r="G139" s="27">
        <f t="shared" si="58"/>
        <v>159.5</v>
      </c>
      <c r="H139" s="28">
        <f t="shared" si="59"/>
        <v>0.109717868338558</v>
      </c>
      <c r="I139" s="44">
        <f t="shared" si="60"/>
        <v>0</v>
      </c>
      <c r="J139" s="44">
        <f t="shared" si="61"/>
        <v>0</v>
      </c>
      <c r="K139" s="39">
        <f t="shared" si="62"/>
        <v>130.5</v>
      </c>
      <c r="L139" s="32">
        <f t="shared" si="63"/>
        <v>2.61</v>
      </c>
      <c r="M139" s="32"/>
      <c r="N139" s="32">
        <f t="shared" si="64"/>
        <v>133.11000000000001</v>
      </c>
      <c r="O139" s="32">
        <f t="shared" si="65"/>
        <v>17.5</v>
      </c>
      <c r="P139" s="32">
        <f t="shared" si="66"/>
        <v>8.8899999999999864</v>
      </c>
      <c r="Q139" s="33">
        <f t="shared" si="67"/>
        <v>6.678686800390643E-2</v>
      </c>
      <c r="R139" s="34" t="s">
        <v>133</v>
      </c>
      <c r="S139" s="35" t="s">
        <v>192</v>
      </c>
    </row>
    <row r="140" spans="1:19" ht="17" thickBot="1">
      <c r="A140" s="266" t="s">
        <v>193</v>
      </c>
      <c r="B140" s="228"/>
      <c r="C140" s="66"/>
      <c r="D140" s="66"/>
      <c r="E140" s="38"/>
      <c r="F140" s="75"/>
      <c r="G140" s="67"/>
      <c r="H140" s="68"/>
      <c r="I140" s="69"/>
      <c r="J140" s="69"/>
      <c r="K140" s="69"/>
      <c r="L140" s="70"/>
      <c r="M140" s="70"/>
      <c r="N140" s="70"/>
      <c r="O140" s="70"/>
      <c r="P140" s="70"/>
      <c r="Q140" s="71"/>
      <c r="R140" s="73"/>
      <c r="S140" s="74"/>
    </row>
    <row r="141" spans="1:19" ht="17" thickBot="1">
      <c r="A141" s="227" t="s">
        <v>194</v>
      </c>
      <c r="B141" s="228"/>
      <c r="C141" s="52">
        <v>165</v>
      </c>
      <c r="D141" s="32">
        <f>C141*0.1</f>
        <v>16.5</v>
      </c>
      <c r="E141" s="49"/>
      <c r="F141" s="23">
        <v>161</v>
      </c>
      <c r="G141" s="27">
        <f>C141+D141</f>
        <v>181.5</v>
      </c>
      <c r="H141" s="28">
        <f>O141/G141</f>
        <v>0.11294765840220386</v>
      </c>
      <c r="I141" s="44">
        <f>F141*E141</f>
        <v>0</v>
      </c>
      <c r="J141" s="44">
        <f>(G141-F141)*E141</f>
        <v>0</v>
      </c>
      <c r="K141" s="39">
        <f>C141*0.9</f>
        <v>148.5</v>
      </c>
      <c r="L141" s="32">
        <f>K141*0.02</f>
        <v>2.97</v>
      </c>
      <c r="M141" s="32"/>
      <c r="N141" s="32">
        <f>K141+L141</f>
        <v>151.47</v>
      </c>
      <c r="O141" s="32">
        <f>G141-F141</f>
        <v>20.5</v>
      </c>
      <c r="P141" s="32">
        <f>F141-N141</f>
        <v>9.5300000000000011</v>
      </c>
      <c r="Q141" s="33">
        <f>P141/N141</f>
        <v>6.2916749191259003E-2</v>
      </c>
      <c r="R141" s="34" t="s">
        <v>133</v>
      </c>
      <c r="S141" s="35" t="s">
        <v>195</v>
      </c>
    </row>
    <row r="142" spans="1:19" ht="17" thickBot="1">
      <c r="A142" s="229" t="s">
        <v>196</v>
      </c>
      <c r="B142" s="228"/>
      <c r="C142" s="53">
        <v>169</v>
      </c>
      <c r="D142" s="25">
        <f>C142*0.1</f>
        <v>16.900000000000002</v>
      </c>
      <c r="E142" s="49"/>
      <c r="F142" s="23">
        <v>165</v>
      </c>
      <c r="G142" s="27">
        <f>C142+D142</f>
        <v>185.9</v>
      </c>
      <c r="H142" s="28">
        <f>O142/G142</f>
        <v>0.11242603550295861</v>
      </c>
      <c r="I142" s="45">
        <f>F142*E142</f>
        <v>0</v>
      </c>
      <c r="J142" s="45">
        <f>(G142-F142)*E142</f>
        <v>0</v>
      </c>
      <c r="K142" s="37">
        <f>C142*0.9</f>
        <v>152.1</v>
      </c>
      <c r="L142" s="25">
        <f>K142*0.02</f>
        <v>3.0419999999999998</v>
      </c>
      <c r="M142" s="25"/>
      <c r="N142" s="25">
        <f>K142+L142</f>
        <v>155.142</v>
      </c>
      <c r="O142" s="25">
        <f>G142-F142</f>
        <v>20.900000000000006</v>
      </c>
      <c r="P142" s="25">
        <f>F142-N142</f>
        <v>9.8580000000000041</v>
      </c>
      <c r="Q142" s="29">
        <f>P142/N142</f>
        <v>6.3541787523687998E-2</v>
      </c>
      <c r="R142" s="30" t="s">
        <v>133</v>
      </c>
      <c r="S142" s="31" t="s">
        <v>197</v>
      </c>
    </row>
    <row r="143" spans="1:19" ht="17" thickBot="1">
      <c r="A143" s="227" t="s">
        <v>198</v>
      </c>
      <c r="B143" s="228"/>
      <c r="C143" s="52">
        <v>165</v>
      </c>
      <c r="D143" s="32">
        <f>C143*0.1</f>
        <v>16.5</v>
      </c>
      <c r="E143" s="49"/>
      <c r="F143" s="23">
        <v>161</v>
      </c>
      <c r="G143" s="27">
        <f>C143+D143</f>
        <v>181.5</v>
      </c>
      <c r="H143" s="28">
        <f>O143/G143</f>
        <v>0.11294765840220386</v>
      </c>
      <c r="I143" s="44">
        <f>F143*E143</f>
        <v>0</v>
      </c>
      <c r="J143" s="44">
        <f>(G143-F143)*E143</f>
        <v>0</v>
      </c>
      <c r="K143" s="39">
        <f>C143*0.9</f>
        <v>148.5</v>
      </c>
      <c r="L143" s="32">
        <f>K143*0.02</f>
        <v>2.97</v>
      </c>
      <c r="M143" s="32"/>
      <c r="N143" s="32">
        <f>K143+L143</f>
        <v>151.47</v>
      </c>
      <c r="O143" s="32">
        <f>G143-F143</f>
        <v>20.5</v>
      </c>
      <c r="P143" s="32">
        <f>F143-N143</f>
        <v>9.5300000000000011</v>
      </c>
      <c r="Q143" s="33">
        <f>P143/N143</f>
        <v>6.2916749191259003E-2</v>
      </c>
      <c r="R143" s="34" t="s">
        <v>133</v>
      </c>
      <c r="S143" s="35" t="s">
        <v>199</v>
      </c>
    </row>
    <row r="144" spans="1:19" ht="17" thickBot="1">
      <c r="A144" s="229" t="s">
        <v>200</v>
      </c>
      <c r="B144" s="228"/>
      <c r="C144" s="53">
        <v>169</v>
      </c>
      <c r="D144" s="25">
        <f>C144*0.1</f>
        <v>16.900000000000002</v>
      </c>
      <c r="E144" s="49"/>
      <c r="F144" s="23">
        <v>165</v>
      </c>
      <c r="G144" s="27">
        <f>C144+D144</f>
        <v>185.9</v>
      </c>
      <c r="H144" s="28">
        <f>O144/G144</f>
        <v>0.11242603550295861</v>
      </c>
      <c r="I144" s="45">
        <f>F144*E144</f>
        <v>0</v>
      </c>
      <c r="J144" s="45">
        <f>(G144-F144)*E144</f>
        <v>0</v>
      </c>
      <c r="K144" s="37">
        <f>C144*0.9</f>
        <v>152.1</v>
      </c>
      <c r="L144" s="25">
        <f>K144*0.02</f>
        <v>3.0419999999999998</v>
      </c>
      <c r="M144" s="25"/>
      <c r="N144" s="25">
        <f>K144+L144</f>
        <v>155.142</v>
      </c>
      <c r="O144" s="25">
        <f>G144-F144</f>
        <v>20.900000000000006</v>
      </c>
      <c r="P144" s="25">
        <f>F144-N144</f>
        <v>9.8580000000000041</v>
      </c>
      <c r="Q144" s="29">
        <f>P144/N144</f>
        <v>6.3541787523687998E-2</v>
      </c>
      <c r="R144" s="30" t="s">
        <v>133</v>
      </c>
      <c r="S144" s="31" t="s">
        <v>201</v>
      </c>
    </row>
    <row r="145" spans="1:19" ht="17" thickBot="1">
      <c r="A145" s="238" t="s">
        <v>202</v>
      </c>
      <c r="B145" s="267"/>
      <c r="C145" s="46"/>
      <c r="D145" s="46"/>
      <c r="E145" s="22"/>
      <c r="F145" s="23"/>
      <c r="G145" s="24"/>
      <c r="H145" s="28"/>
      <c r="I145" s="238"/>
      <c r="J145" s="232"/>
      <c r="K145" s="238"/>
      <c r="L145" s="232"/>
      <c r="M145" s="238"/>
      <c r="N145" s="232"/>
      <c r="O145" s="238"/>
      <c r="P145" s="232"/>
      <c r="Q145" s="238"/>
      <c r="R145" s="232"/>
      <c r="S145" s="153"/>
    </row>
    <row r="146" spans="1:19" ht="17" thickBot="1">
      <c r="A146" s="266" t="s">
        <v>203</v>
      </c>
      <c r="B146" s="228"/>
      <c r="C146" s="66"/>
      <c r="D146" s="66"/>
      <c r="E146" s="38"/>
      <c r="F146" s="66"/>
      <c r="G146" s="67"/>
      <c r="H146" s="68"/>
      <c r="I146" s="69"/>
      <c r="J146" s="69"/>
      <c r="K146" s="69"/>
      <c r="L146" s="70"/>
      <c r="M146" s="70"/>
      <c r="N146" s="70"/>
      <c r="O146" s="70"/>
      <c r="P146" s="70"/>
      <c r="Q146" s="71"/>
      <c r="R146" s="73"/>
      <c r="S146" s="74"/>
    </row>
    <row r="147" spans="1:19" ht="17" thickBot="1">
      <c r="A147" s="229" t="s">
        <v>204</v>
      </c>
      <c r="B147" s="228"/>
      <c r="C147" s="25">
        <v>67</v>
      </c>
      <c r="D147" s="25">
        <f t="shared" ref="D147:D153" si="68">C147*0.1</f>
        <v>6.7</v>
      </c>
      <c r="E147" s="49"/>
      <c r="F147" s="23">
        <v>65</v>
      </c>
      <c r="G147" s="27">
        <f t="shared" ref="G147:G153" si="69">C147+D147</f>
        <v>73.7</v>
      </c>
      <c r="H147" s="28">
        <f t="shared" ref="H147:H153" si="70">O147/G147</f>
        <v>0.11804613297150614</v>
      </c>
      <c r="I147" s="45">
        <f t="shared" ref="I147:I153" si="71">F147*E147</f>
        <v>0</v>
      </c>
      <c r="J147" s="45">
        <f t="shared" ref="J147:J153" si="72">(G147-F147)*E147</f>
        <v>0</v>
      </c>
      <c r="K147" s="37">
        <f t="shared" ref="K147:K153" si="73">C147*0.9</f>
        <v>60.300000000000004</v>
      </c>
      <c r="L147" s="25">
        <f t="shared" ref="L147:L153" si="74">K147*0.02</f>
        <v>1.2060000000000002</v>
      </c>
      <c r="M147" s="25"/>
      <c r="N147" s="25">
        <f t="shared" ref="N147:N153" si="75">K147+L147</f>
        <v>61.506000000000007</v>
      </c>
      <c r="O147" s="25">
        <f t="shared" ref="O147:O153" si="76">G147-F147</f>
        <v>8.7000000000000028</v>
      </c>
      <c r="P147" s="25">
        <f t="shared" ref="P147:P153" si="77">F147-N147</f>
        <v>3.4939999999999927</v>
      </c>
      <c r="Q147" s="29">
        <f t="shared" ref="Q147:Q153" si="78">P147/N147</f>
        <v>5.6807465938282321E-2</v>
      </c>
      <c r="R147" s="30" t="s">
        <v>133</v>
      </c>
      <c r="S147" s="31" t="s">
        <v>205</v>
      </c>
    </row>
    <row r="148" spans="1:19" ht="17" thickBot="1">
      <c r="A148" s="227" t="s">
        <v>206</v>
      </c>
      <c r="B148" s="228"/>
      <c r="C148" s="32">
        <v>109</v>
      </c>
      <c r="D148" s="32">
        <f t="shared" si="68"/>
        <v>10.9</v>
      </c>
      <c r="E148" s="49"/>
      <c r="F148" s="23">
        <v>107</v>
      </c>
      <c r="G148" s="27">
        <f t="shared" si="69"/>
        <v>119.9</v>
      </c>
      <c r="H148" s="28">
        <f t="shared" si="70"/>
        <v>0.10758965804837368</v>
      </c>
      <c r="I148" s="44">
        <f t="shared" si="71"/>
        <v>0</v>
      </c>
      <c r="J148" s="44">
        <f t="shared" si="72"/>
        <v>0</v>
      </c>
      <c r="K148" s="39">
        <f t="shared" si="73"/>
        <v>98.100000000000009</v>
      </c>
      <c r="L148" s="32">
        <f t="shared" si="74"/>
        <v>1.9620000000000002</v>
      </c>
      <c r="M148" s="32"/>
      <c r="N148" s="32">
        <f t="shared" si="75"/>
        <v>100.06200000000001</v>
      </c>
      <c r="O148" s="32">
        <f t="shared" si="76"/>
        <v>12.900000000000006</v>
      </c>
      <c r="P148" s="32">
        <f t="shared" si="77"/>
        <v>6.9379999999999882</v>
      </c>
      <c r="Q148" s="33">
        <f t="shared" si="78"/>
        <v>6.9337011053146921E-2</v>
      </c>
      <c r="R148" s="34" t="s">
        <v>133</v>
      </c>
      <c r="S148" s="35" t="s">
        <v>207</v>
      </c>
    </row>
    <row r="149" spans="1:19" ht="17" thickBot="1">
      <c r="A149" s="229" t="s">
        <v>208</v>
      </c>
      <c r="B149" s="228"/>
      <c r="C149" s="25">
        <v>84</v>
      </c>
      <c r="D149" s="25">
        <f t="shared" si="68"/>
        <v>8.4</v>
      </c>
      <c r="E149" s="49"/>
      <c r="F149" s="23">
        <v>82</v>
      </c>
      <c r="G149" s="27">
        <f t="shared" si="69"/>
        <v>92.4</v>
      </c>
      <c r="H149" s="28">
        <f t="shared" si="70"/>
        <v>0.11255411255411261</v>
      </c>
      <c r="I149" s="45">
        <f t="shared" si="71"/>
        <v>0</v>
      </c>
      <c r="J149" s="45">
        <f t="shared" si="72"/>
        <v>0</v>
      </c>
      <c r="K149" s="37">
        <f t="shared" si="73"/>
        <v>75.600000000000009</v>
      </c>
      <c r="L149" s="25">
        <f t="shared" si="74"/>
        <v>1.5120000000000002</v>
      </c>
      <c r="M149" s="25"/>
      <c r="N149" s="25">
        <f t="shared" si="75"/>
        <v>77.112000000000009</v>
      </c>
      <c r="O149" s="25">
        <f t="shared" si="76"/>
        <v>10.400000000000006</v>
      </c>
      <c r="P149" s="25">
        <f t="shared" si="77"/>
        <v>4.887999999999991</v>
      </c>
      <c r="Q149" s="29">
        <f t="shared" si="78"/>
        <v>6.3388318290278953E-2</v>
      </c>
      <c r="R149" s="30" t="s">
        <v>133</v>
      </c>
      <c r="S149" s="31" t="s">
        <v>209</v>
      </c>
    </row>
    <row r="150" spans="1:19" ht="17" thickBot="1">
      <c r="A150" s="227" t="s">
        <v>210</v>
      </c>
      <c r="B150" s="228"/>
      <c r="C150" s="32">
        <v>136</v>
      </c>
      <c r="D150" s="32">
        <f t="shared" si="68"/>
        <v>13.600000000000001</v>
      </c>
      <c r="E150" s="49"/>
      <c r="F150" s="23">
        <v>133</v>
      </c>
      <c r="G150" s="27">
        <f t="shared" si="69"/>
        <v>149.6</v>
      </c>
      <c r="H150" s="28">
        <f t="shared" si="70"/>
        <v>0.11096256684491976</v>
      </c>
      <c r="I150" s="44">
        <f t="shared" si="71"/>
        <v>0</v>
      </c>
      <c r="J150" s="44">
        <f t="shared" si="72"/>
        <v>0</v>
      </c>
      <c r="K150" s="39">
        <f t="shared" si="73"/>
        <v>122.4</v>
      </c>
      <c r="L150" s="32">
        <f t="shared" si="74"/>
        <v>2.448</v>
      </c>
      <c r="M150" s="32"/>
      <c r="N150" s="32">
        <f t="shared" si="75"/>
        <v>124.848</v>
      </c>
      <c r="O150" s="32">
        <f t="shared" si="76"/>
        <v>16.599999999999994</v>
      </c>
      <c r="P150" s="32">
        <f t="shared" si="77"/>
        <v>8.152000000000001</v>
      </c>
      <c r="Q150" s="33">
        <f t="shared" si="78"/>
        <v>6.5295399205433813E-2</v>
      </c>
      <c r="R150" s="34" t="s">
        <v>133</v>
      </c>
      <c r="S150" s="35" t="s">
        <v>211</v>
      </c>
    </row>
    <row r="151" spans="1:19" ht="17" thickBot="1">
      <c r="A151" s="229" t="s">
        <v>212</v>
      </c>
      <c r="B151" s="228"/>
      <c r="C151" s="25">
        <v>136</v>
      </c>
      <c r="D151" s="25">
        <f t="shared" si="68"/>
        <v>13.600000000000001</v>
      </c>
      <c r="E151" s="49"/>
      <c r="F151" s="23">
        <v>133</v>
      </c>
      <c r="G151" s="27">
        <f t="shared" si="69"/>
        <v>149.6</v>
      </c>
      <c r="H151" s="28">
        <f t="shared" si="70"/>
        <v>0.11096256684491976</v>
      </c>
      <c r="I151" s="45">
        <f t="shared" si="71"/>
        <v>0</v>
      </c>
      <c r="J151" s="45">
        <f t="shared" si="72"/>
        <v>0</v>
      </c>
      <c r="K151" s="37">
        <f t="shared" si="73"/>
        <v>122.4</v>
      </c>
      <c r="L151" s="25">
        <f t="shared" si="74"/>
        <v>2.448</v>
      </c>
      <c r="M151" s="25"/>
      <c r="N151" s="25">
        <f t="shared" si="75"/>
        <v>124.848</v>
      </c>
      <c r="O151" s="25">
        <f t="shared" si="76"/>
        <v>16.599999999999994</v>
      </c>
      <c r="P151" s="25">
        <f t="shared" si="77"/>
        <v>8.152000000000001</v>
      </c>
      <c r="Q151" s="29">
        <f t="shared" si="78"/>
        <v>6.5295399205433813E-2</v>
      </c>
      <c r="R151" s="30" t="s">
        <v>133</v>
      </c>
      <c r="S151" s="31" t="s">
        <v>213</v>
      </c>
    </row>
    <row r="152" spans="1:19" ht="17" thickBot="1">
      <c r="A152" s="227" t="s">
        <v>214</v>
      </c>
      <c r="B152" s="228"/>
      <c r="C152" s="32">
        <v>104.5</v>
      </c>
      <c r="D152" s="32">
        <f t="shared" si="68"/>
        <v>10.450000000000001</v>
      </c>
      <c r="E152" s="49"/>
      <c r="F152" s="23">
        <v>102</v>
      </c>
      <c r="G152" s="27">
        <f t="shared" si="69"/>
        <v>114.95</v>
      </c>
      <c r="H152" s="28">
        <f t="shared" si="70"/>
        <v>0.11265767725097871</v>
      </c>
      <c r="I152" s="44">
        <f t="shared" si="71"/>
        <v>0</v>
      </c>
      <c r="J152" s="44">
        <f t="shared" si="72"/>
        <v>0</v>
      </c>
      <c r="K152" s="39">
        <f t="shared" si="73"/>
        <v>94.05</v>
      </c>
      <c r="L152" s="32">
        <f t="shared" si="74"/>
        <v>1.881</v>
      </c>
      <c r="M152" s="32"/>
      <c r="N152" s="32">
        <f t="shared" si="75"/>
        <v>95.930999999999997</v>
      </c>
      <c r="O152" s="32">
        <f t="shared" si="76"/>
        <v>12.950000000000003</v>
      </c>
      <c r="P152" s="32">
        <f t="shared" si="77"/>
        <v>6.0690000000000026</v>
      </c>
      <c r="Q152" s="33">
        <f t="shared" si="78"/>
        <v>6.3264221158958037E-2</v>
      </c>
      <c r="R152" s="34" t="s">
        <v>133</v>
      </c>
      <c r="S152" s="35" t="s">
        <v>215</v>
      </c>
    </row>
    <row r="153" spans="1:19" ht="17" thickBot="1">
      <c r="A153" s="229" t="s">
        <v>216</v>
      </c>
      <c r="B153" s="228"/>
      <c r="C153" s="25">
        <v>100</v>
      </c>
      <c r="D153" s="25">
        <f t="shared" si="68"/>
        <v>10</v>
      </c>
      <c r="E153" s="49"/>
      <c r="F153" s="23">
        <v>98</v>
      </c>
      <c r="G153" s="27">
        <f t="shared" si="69"/>
        <v>110</v>
      </c>
      <c r="H153" s="28">
        <f t="shared" si="70"/>
        <v>0.10909090909090909</v>
      </c>
      <c r="I153" s="45">
        <f t="shared" si="71"/>
        <v>0</v>
      </c>
      <c r="J153" s="45">
        <f t="shared" si="72"/>
        <v>0</v>
      </c>
      <c r="K153" s="37">
        <f t="shared" si="73"/>
        <v>90</v>
      </c>
      <c r="L153" s="25">
        <f t="shared" si="74"/>
        <v>1.8</v>
      </c>
      <c r="M153" s="25"/>
      <c r="N153" s="25">
        <f t="shared" si="75"/>
        <v>91.8</v>
      </c>
      <c r="O153" s="25">
        <f t="shared" si="76"/>
        <v>12</v>
      </c>
      <c r="P153" s="25">
        <f t="shared" si="77"/>
        <v>6.2000000000000028</v>
      </c>
      <c r="Q153" s="29">
        <f t="shared" si="78"/>
        <v>6.7538126361655806E-2</v>
      </c>
      <c r="R153" s="30" t="s">
        <v>133</v>
      </c>
      <c r="S153" s="31" t="s">
        <v>217</v>
      </c>
    </row>
    <row r="154" spans="1:19" ht="17" thickBot="1">
      <c r="A154" s="266" t="s">
        <v>218</v>
      </c>
      <c r="B154" s="228"/>
      <c r="C154" s="66"/>
      <c r="D154" s="66"/>
      <c r="E154" s="38"/>
      <c r="F154" s="66"/>
      <c r="G154" s="67"/>
      <c r="H154" s="68"/>
      <c r="I154" s="69"/>
      <c r="J154" s="69"/>
      <c r="K154" s="69"/>
      <c r="L154" s="70"/>
      <c r="M154" s="70"/>
      <c r="N154" s="70"/>
      <c r="O154" s="70"/>
      <c r="P154" s="70"/>
      <c r="Q154" s="71"/>
      <c r="R154" s="73"/>
      <c r="S154" s="74"/>
    </row>
    <row r="155" spans="1:19" ht="17" thickBot="1">
      <c r="A155" s="229" t="s">
        <v>219</v>
      </c>
      <c r="B155" s="228"/>
      <c r="C155" s="25">
        <v>110</v>
      </c>
      <c r="D155" s="25">
        <f>C155*0.1</f>
        <v>11</v>
      </c>
      <c r="E155" s="49"/>
      <c r="F155" s="23">
        <v>108</v>
      </c>
      <c r="G155" s="27">
        <f>C155+D155</f>
        <v>121</v>
      </c>
      <c r="H155" s="28">
        <f>O155/G155</f>
        <v>0.10743801652892562</v>
      </c>
      <c r="I155" s="45">
        <f>F155*E155</f>
        <v>0</v>
      </c>
      <c r="J155" s="45">
        <f>(G155-F155)*E155</f>
        <v>0</v>
      </c>
      <c r="K155" s="37">
        <f>C155*0.9</f>
        <v>99</v>
      </c>
      <c r="L155" s="25">
        <f>K155*0.02</f>
        <v>1.98</v>
      </c>
      <c r="M155" s="25"/>
      <c r="N155" s="25">
        <f>K155+L155</f>
        <v>100.98</v>
      </c>
      <c r="O155" s="25">
        <f>G155-F155</f>
        <v>13</v>
      </c>
      <c r="P155" s="25">
        <f>F155-N155</f>
        <v>7.019999999999996</v>
      </c>
      <c r="Q155" s="29">
        <f>P155/N155</f>
        <v>6.9518716577540066E-2</v>
      </c>
      <c r="R155" s="30" t="s">
        <v>133</v>
      </c>
      <c r="S155" s="31" t="s">
        <v>220</v>
      </c>
    </row>
    <row r="156" spans="1:19" ht="17" thickBot="1">
      <c r="A156" s="227" t="s">
        <v>221</v>
      </c>
      <c r="B156" s="228"/>
      <c r="C156" s="32">
        <v>136</v>
      </c>
      <c r="D156" s="32">
        <f>C156*0.1</f>
        <v>13.600000000000001</v>
      </c>
      <c r="E156" s="49"/>
      <c r="F156" s="23">
        <v>133</v>
      </c>
      <c r="G156" s="27">
        <f>C156+D156</f>
        <v>149.6</v>
      </c>
      <c r="H156" s="28">
        <f>O156/G156</f>
        <v>0.11096256684491976</v>
      </c>
      <c r="I156" s="44">
        <f>F156*E156</f>
        <v>0</v>
      </c>
      <c r="J156" s="44">
        <f>(G156-F156)*E156</f>
        <v>0</v>
      </c>
      <c r="K156" s="39">
        <f>C156*0.9</f>
        <v>122.4</v>
      </c>
      <c r="L156" s="32">
        <f>K156*0.02</f>
        <v>2.448</v>
      </c>
      <c r="M156" s="32"/>
      <c r="N156" s="32">
        <f>K156+L156</f>
        <v>124.848</v>
      </c>
      <c r="O156" s="32">
        <f>G156-F156</f>
        <v>16.599999999999994</v>
      </c>
      <c r="P156" s="32">
        <f>F156-N156</f>
        <v>8.152000000000001</v>
      </c>
      <c r="Q156" s="33">
        <f>P156/N156</f>
        <v>6.5295399205433813E-2</v>
      </c>
      <c r="R156" s="34" t="s">
        <v>133</v>
      </c>
      <c r="S156" s="35" t="s">
        <v>222</v>
      </c>
    </row>
    <row r="157" spans="1:19" ht="17" thickBot="1">
      <c r="A157" s="266" t="s">
        <v>223</v>
      </c>
      <c r="B157" s="228"/>
      <c r="C157" s="66"/>
      <c r="D157" s="66"/>
      <c r="E157" s="38"/>
      <c r="F157" s="66"/>
      <c r="G157" s="67"/>
      <c r="H157" s="68"/>
      <c r="I157" s="69"/>
      <c r="J157" s="69"/>
      <c r="K157" s="69"/>
      <c r="L157" s="70"/>
      <c r="M157" s="70"/>
      <c r="N157" s="70"/>
      <c r="O157" s="70"/>
      <c r="P157" s="70"/>
      <c r="Q157" s="71"/>
      <c r="R157" s="73"/>
      <c r="S157" s="74"/>
    </row>
    <row r="158" spans="1:19" ht="17" thickBot="1">
      <c r="A158" s="227" t="s">
        <v>224</v>
      </c>
      <c r="B158" s="228"/>
      <c r="C158" s="32">
        <v>122</v>
      </c>
      <c r="D158" s="32">
        <f>C158*0.1</f>
        <v>12.200000000000001</v>
      </c>
      <c r="E158" s="49"/>
      <c r="F158" s="23">
        <v>119</v>
      </c>
      <c r="G158" s="27">
        <f>C158+D158</f>
        <v>134.19999999999999</v>
      </c>
      <c r="H158" s="28">
        <f>O158/G158</f>
        <v>0.11326378539493286</v>
      </c>
      <c r="I158" s="44">
        <f>F158*E158</f>
        <v>0</v>
      </c>
      <c r="J158" s="44">
        <f>(G158-F158)*E158</f>
        <v>0</v>
      </c>
      <c r="K158" s="39">
        <f>C158*0.9</f>
        <v>109.8</v>
      </c>
      <c r="L158" s="32">
        <f>K158*0.02</f>
        <v>2.1960000000000002</v>
      </c>
      <c r="M158" s="32"/>
      <c r="N158" s="32">
        <f>K158+L158</f>
        <v>111.996</v>
      </c>
      <c r="O158" s="32">
        <f>G158-F158</f>
        <v>15.199999999999989</v>
      </c>
      <c r="P158" s="32">
        <f>F158-N158</f>
        <v>7.0040000000000049</v>
      </c>
      <c r="Q158" s="33">
        <f>P158/N158</f>
        <v>6.2537947783849468E-2</v>
      </c>
      <c r="R158" s="34" t="s">
        <v>133</v>
      </c>
      <c r="S158" s="35" t="s">
        <v>225</v>
      </c>
    </row>
    <row r="159" spans="1:19" ht="17" thickBot="1">
      <c r="A159" s="229" t="s">
        <v>226</v>
      </c>
      <c r="B159" s="228"/>
      <c r="C159" s="25">
        <v>198</v>
      </c>
      <c r="D159" s="25">
        <f>C159*0.1</f>
        <v>19.8</v>
      </c>
      <c r="E159" s="49"/>
      <c r="F159" s="23">
        <v>193</v>
      </c>
      <c r="G159" s="27">
        <f>C159+D159</f>
        <v>217.8</v>
      </c>
      <c r="H159" s="28">
        <f>O159/G159</f>
        <v>0.11386593204775028</v>
      </c>
      <c r="I159" s="45">
        <f>F159*E159</f>
        <v>0</v>
      </c>
      <c r="J159" s="45">
        <f>(G159-F159)*E159</f>
        <v>0</v>
      </c>
      <c r="K159" s="37">
        <f>C159*0.9</f>
        <v>178.20000000000002</v>
      </c>
      <c r="L159" s="25">
        <f>K159*0.02</f>
        <v>3.5640000000000005</v>
      </c>
      <c r="M159" s="25"/>
      <c r="N159" s="25">
        <f>K159+L159</f>
        <v>181.76400000000001</v>
      </c>
      <c r="O159" s="25">
        <f>G159-F159</f>
        <v>24.800000000000011</v>
      </c>
      <c r="P159" s="25">
        <f>F159-N159</f>
        <v>11.23599999999999</v>
      </c>
      <c r="Q159" s="29">
        <f>P159/N159</f>
        <v>6.181642129354542E-2</v>
      </c>
      <c r="R159" s="30" t="s">
        <v>133</v>
      </c>
      <c r="S159" s="31" t="s">
        <v>227</v>
      </c>
    </row>
    <row r="160" spans="1:19" ht="17" thickBot="1">
      <c r="A160" s="227" t="s">
        <v>228</v>
      </c>
      <c r="B160" s="228"/>
      <c r="C160" s="32">
        <v>254</v>
      </c>
      <c r="D160" s="32">
        <f>C160*0.1</f>
        <v>25.400000000000002</v>
      </c>
      <c r="E160" s="49"/>
      <c r="F160" s="23">
        <v>248</v>
      </c>
      <c r="G160" s="27">
        <f>C160+D160</f>
        <v>279.39999999999998</v>
      </c>
      <c r="H160" s="28">
        <f>O160/G160</f>
        <v>0.1123836793128131</v>
      </c>
      <c r="I160" s="44">
        <f>F160*E160</f>
        <v>0</v>
      </c>
      <c r="J160" s="44">
        <f>(G160-F160)*E160</f>
        <v>0</v>
      </c>
      <c r="K160" s="39">
        <f>C160*0.9</f>
        <v>228.6</v>
      </c>
      <c r="L160" s="32">
        <f>K160*0.02</f>
        <v>4.5720000000000001</v>
      </c>
      <c r="M160" s="32"/>
      <c r="N160" s="32">
        <f>K160+L160</f>
        <v>233.172</v>
      </c>
      <c r="O160" s="32">
        <f>G160-F160</f>
        <v>31.399999999999977</v>
      </c>
      <c r="P160" s="32">
        <f>F160-N160</f>
        <v>14.828000000000003</v>
      </c>
      <c r="Q160" s="33">
        <f>P160/N160</f>
        <v>6.3592541128437388E-2</v>
      </c>
      <c r="R160" s="34" t="s">
        <v>133</v>
      </c>
      <c r="S160" s="35" t="s">
        <v>229</v>
      </c>
    </row>
    <row r="161" spans="1:19" ht="17" thickBot="1">
      <c r="A161" s="229" t="s">
        <v>230</v>
      </c>
      <c r="B161" s="228"/>
      <c r="C161" s="25">
        <v>262</v>
      </c>
      <c r="D161" s="25">
        <f>C161*0.1</f>
        <v>26.200000000000003</v>
      </c>
      <c r="E161" s="49"/>
      <c r="F161" s="23">
        <v>255</v>
      </c>
      <c r="G161" s="27">
        <f>C161+D161</f>
        <v>288.2</v>
      </c>
      <c r="H161" s="28">
        <f>O161/G161</f>
        <v>0.11519777931991669</v>
      </c>
      <c r="I161" s="45">
        <f>F161*E161</f>
        <v>0</v>
      </c>
      <c r="J161" s="45">
        <f>(G161-F161)*E161</f>
        <v>0</v>
      </c>
      <c r="K161" s="37">
        <f>C161*0.9</f>
        <v>235.8</v>
      </c>
      <c r="L161" s="25">
        <f>K161*0.02</f>
        <v>4.7160000000000002</v>
      </c>
      <c r="M161" s="25"/>
      <c r="N161" s="25">
        <f>K161+L161</f>
        <v>240.51600000000002</v>
      </c>
      <c r="O161" s="25">
        <f>G161-F161</f>
        <v>33.199999999999989</v>
      </c>
      <c r="P161" s="25">
        <f>F161-N161</f>
        <v>14.48399999999998</v>
      </c>
      <c r="Q161" s="29">
        <f>P161/N161</f>
        <v>6.0220525869380745E-2</v>
      </c>
      <c r="R161" s="30" t="s">
        <v>133</v>
      </c>
      <c r="S161" s="31" t="s">
        <v>231</v>
      </c>
    </row>
    <row r="162" spans="1:19" ht="96" customHeight="1" thickBot="1">
      <c r="A162" s="268"/>
      <c r="B162" s="269"/>
      <c r="C162" s="269"/>
      <c r="D162" s="269"/>
      <c r="E162" s="269"/>
      <c r="F162" s="269"/>
      <c r="G162" s="269"/>
      <c r="H162" s="269"/>
      <c r="I162" s="269"/>
      <c r="J162" s="269"/>
      <c r="K162" s="269"/>
      <c r="L162" s="269"/>
      <c r="M162" s="269"/>
      <c r="N162" s="269"/>
      <c r="O162" s="269"/>
      <c r="P162" s="269"/>
      <c r="Q162" s="269"/>
      <c r="R162" s="269"/>
      <c r="S162" s="269"/>
    </row>
    <row r="163" spans="1:19" ht="17" thickBot="1">
      <c r="A163" s="238" t="s">
        <v>232</v>
      </c>
      <c r="B163" s="232"/>
      <c r="C163" s="46"/>
      <c r="D163" s="46"/>
      <c r="E163" s="22"/>
      <c r="F163" s="23"/>
      <c r="G163" s="24"/>
      <c r="H163" s="28"/>
      <c r="I163" s="238"/>
      <c r="J163" s="232"/>
      <c r="K163" s="238"/>
      <c r="L163" s="232"/>
      <c r="M163" s="238"/>
      <c r="N163" s="232"/>
      <c r="O163" s="238"/>
      <c r="P163" s="232"/>
      <c r="Q163" s="238"/>
      <c r="R163" s="232"/>
      <c r="S163" s="153"/>
    </row>
    <row r="164" spans="1:19" ht="17" thickBot="1">
      <c r="A164" s="270" t="s">
        <v>233</v>
      </c>
      <c r="B164" s="228"/>
      <c r="C164" s="76">
        <v>34</v>
      </c>
      <c r="D164" s="76">
        <f>C164*0.1</f>
        <v>3.4000000000000004</v>
      </c>
      <c r="E164" s="49"/>
      <c r="F164" s="23">
        <v>33</v>
      </c>
      <c r="G164" s="27">
        <f>C164+D164</f>
        <v>37.4</v>
      </c>
      <c r="H164" s="28">
        <f>O164/G164</f>
        <v>0.11764705882352938</v>
      </c>
      <c r="I164" s="44">
        <f>F164*E164</f>
        <v>0</v>
      </c>
      <c r="J164" s="44">
        <f>(G164-F164)*E164</f>
        <v>0</v>
      </c>
      <c r="K164" s="77">
        <f>C164*0.9</f>
        <v>30.6</v>
      </c>
      <c r="L164" s="78">
        <f>K164*0.02</f>
        <v>0.61199999999999999</v>
      </c>
      <c r="M164" s="78"/>
      <c r="N164" s="78">
        <f>K164+L164</f>
        <v>31.212</v>
      </c>
      <c r="O164" s="78">
        <f>G164-F164</f>
        <v>4.3999999999999986</v>
      </c>
      <c r="P164" s="78">
        <f>F164-N164</f>
        <v>1.7880000000000003</v>
      </c>
      <c r="Q164" s="79">
        <f>P164/N164</f>
        <v>5.7285659361783939E-2</v>
      </c>
      <c r="R164" s="80" t="s">
        <v>133</v>
      </c>
      <c r="S164" s="81" t="s">
        <v>234</v>
      </c>
    </row>
    <row r="165" spans="1:19" ht="17" thickBot="1">
      <c r="A165" s="266" t="s">
        <v>235</v>
      </c>
      <c r="B165" s="228"/>
      <c r="C165" s="66"/>
      <c r="D165" s="66"/>
      <c r="E165" s="38"/>
      <c r="F165" s="66"/>
      <c r="G165" s="67"/>
      <c r="H165" s="68"/>
      <c r="I165" s="69"/>
      <c r="J165" s="69"/>
      <c r="K165" s="69"/>
      <c r="L165" s="70"/>
      <c r="M165" s="70"/>
      <c r="N165" s="70"/>
      <c r="O165" s="70"/>
      <c r="P165" s="70"/>
      <c r="Q165" s="71"/>
      <c r="R165" s="73"/>
      <c r="S165" s="74"/>
    </row>
    <row r="166" spans="1:19" ht="48" customHeight="1" thickBot="1">
      <c r="A166" s="242" t="s">
        <v>236</v>
      </c>
      <c r="B166" s="228"/>
      <c r="C166" s="25"/>
      <c r="D166" s="25"/>
      <c r="E166" s="38"/>
      <c r="F166" s="23"/>
      <c r="G166" s="27"/>
      <c r="H166" s="28"/>
      <c r="I166" s="37"/>
      <c r="J166" s="37"/>
      <c r="K166" s="37"/>
      <c r="L166" s="25"/>
      <c r="M166" s="25"/>
      <c r="N166" s="25"/>
      <c r="O166" s="25"/>
      <c r="P166" s="25"/>
      <c r="Q166" s="29"/>
      <c r="R166" s="30"/>
      <c r="S166" s="31"/>
    </row>
    <row r="167" spans="1:19" ht="17" thickBot="1">
      <c r="A167" s="227" t="s">
        <v>237</v>
      </c>
      <c r="B167" s="228"/>
      <c r="C167" s="32">
        <v>52</v>
      </c>
      <c r="D167" s="32">
        <f t="shared" ref="D167:D174" si="79">C167*0.1</f>
        <v>5.2</v>
      </c>
      <c r="E167" s="38"/>
      <c r="F167" s="23">
        <v>51</v>
      </c>
      <c r="G167" s="27">
        <f t="shared" ref="G167:G174" si="80">C167+D167</f>
        <v>57.2</v>
      </c>
      <c r="H167" s="28">
        <f t="shared" ref="H167:H174" si="81">O167/G167</f>
        <v>0.10839160839160844</v>
      </c>
      <c r="I167" s="44">
        <f t="shared" ref="I167:I174" si="82">F167*E167</f>
        <v>0</v>
      </c>
      <c r="J167" s="44">
        <f t="shared" ref="J167:J174" si="83">(G167-F167)*E167</f>
        <v>0</v>
      </c>
      <c r="K167" s="39">
        <f t="shared" ref="K167:K174" si="84">C167*0.9</f>
        <v>46.800000000000004</v>
      </c>
      <c r="L167" s="32">
        <f t="shared" ref="L167:L174" si="85">K167*0.02</f>
        <v>0.93600000000000005</v>
      </c>
      <c r="M167" s="32"/>
      <c r="N167" s="32">
        <f t="shared" ref="N167:N174" si="86">K167+L167</f>
        <v>47.736000000000004</v>
      </c>
      <c r="O167" s="32">
        <f t="shared" ref="O167:O174" si="87">G167-F167</f>
        <v>6.2000000000000028</v>
      </c>
      <c r="P167" s="32">
        <f t="shared" ref="P167:P174" si="88">F167-N167</f>
        <v>3.2639999999999958</v>
      </c>
      <c r="Q167" s="33">
        <f t="shared" ref="Q167:Q174" si="89">P167/N167</f>
        <v>6.8376068376068286E-2</v>
      </c>
      <c r="R167" s="34" t="s">
        <v>133</v>
      </c>
      <c r="S167" s="35" t="s">
        <v>238</v>
      </c>
    </row>
    <row r="168" spans="1:19" ht="17" thickBot="1">
      <c r="A168" s="229" t="s">
        <v>239</v>
      </c>
      <c r="B168" s="228"/>
      <c r="C168" s="25">
        <v>99</v>
      </c>
      <c r="D168" s="25">
        <f t="shared" si="79"/>
        <v>9.9</v>
      </c>
      <c r="E168" s="38"/>
      <c r="F168" s="23">
        <v>97</v>
      </c>
      <c r="G168" s="27">
        <f t="shared" si="80"/>
        <v>108.9</v>
      </c>
      <c r="H168" s="28">
        <f t="shared" si="81"/>
        <v>0.10927456382001841</v>
      </c>
      <c r="I168" s="45">
        <f t="shared" si="82"/>
        <v>0</v>
      </c>
      <c r="J168" s="45">
        <f t="shared" si="83"/>
        <v>0</v>
      </c>
      <c r="K168" s="37">
        <f t="shared" si="84"/>
        <v>89.100000000000009</v>
      </c>
      <c r="L168" s="25">
        <f t="shared" si="85"/>
        <v>1.7820000000000003</v>
      </c>
      <c r="M168" s="25"/>
      <c r="N168" s="25">
        <f t="shared" si="86"/>
        <v>90.882000000000005</v>
      </c>
      <c r="O168" s="25">
        <f t="shared" si="87"/>
        <v>11.900000000000006</v>
      </c>
      <c r="P168" s="25">
        <f t="shared" si="88"/>
        <v>6.117999999999995</v>
      </c>
      <c r="Q168" s="29">
        <f t="shared" si="89"/>
        <v>6.7318060782113012E-2</v>
      </c>
      <c r="R168" s="30" t="s">
        <v>133</v>
      </c>
      <c r="S168" s="31" t="s">
        <v>240</v>
      </c>
    </row>
    <row r="169" spans="1:19" ht="17" thickBot="1">
      <c r="A169" s="227" t="s">
        <v>241</v>
      </c>
      <c r="B169" s="228"/>
      <c r="C169" s="32">
        <v>72</v>
      </c>
      <c r="D169" s="32">
        <f t="shared" si="79"/>
        <v>7.2</v>
      </c>
      <c r="E169" s="38"/>
      <c r="F169" s="23">
        <v>71</v>
      </c>
      <c r="G169" s="27">
        <f t="shared" si="80"/>
        <v>79.2</v>
      </c>
      <c r="H169" s="28">
        <f t="shared" si="81"/>
        <v>0.10353535353535356</v>
      </c>
      <c r="I169" s="44">
        <f t="shared" si="82"/>
        <v>0</v>
      </c>
      <c r="J169" s="44">
        <f t="shared" si="83"/>
        <v>0</v>
      </c>
      <c r="K169" s="39">
        <f t="shared" si="84"/>
        <v>64.8</v>
      </c>
      <c r="L169" s="32">
        <f t="shared" si="85"/>
        <v>1.296</v>
      </c>
      <c r="M169" s="32"/>
      <c r="N169" s="32">
        <f t="shared" si="86"/>
        <v>66.096000000000004</v>
      </c>
      <c r="O169" s="32">
        <f t="shared" si="87"/>
        <v>8.2000000000000028</v>
      </c>
      <c r="P169" s="32">
        <f t="shared" si="88"/>
        <v>4.9039999999999964</v>
      </c>
      <c r="Q169" s="33">
        <f t="shared" si="89"/>
        <v>7.4195110142822499E-2</v>
      </c>
      <c r="R169" s="34" t="s">
        <v>133</v>
      </c>
      <c r="S169" s="35" t="s">
        <v>242</v>
      </c>
    </row>
    <row r="170" spans="1:19" ht="17" thickBot="1">
      <c r="A170" s="229" t="s">
        <v>243</v>
      </c>
      <c r="B170" s="228"/>
      <c r="C170" s="25">
        <v>196</v>
      </c>
      <c r="D170" s="25">
        <f t="shared" si="79"/>
        <v>19.600000000000001</v>
      </c>
      <c r="E170" s="38"/>
      <c r="F170" s="23">
        <v>191</v>
      </c>
      <c r="G170" s="27">
        <f t="shared" si="80"/>
        <v>215.6</v>
      </c>
      <c r="H170" s="28">
        <f t="shared" si="81"/>
        <v>0.11410018552875693</v>
      </c>
      <c r="I170" s="45">
        <f t="shared" si="82"/>
        <v>0</v>
      </c>
      <c r="J170" s="45">
        <f t="shared" si="83"/>
        <v>0</v>
      </c>
      <c r="K170" s="37">
        <f t="shared" si="84"/>
        <v>176.4</v>
      </c>
      <c r="L170" s="25">
        <f t="shared" si="85"/>
        <v>3.528</v>
      </c>
      <c r="M170" s="25"/>
      <c r="N170" s="25">
        <f t="shared" si="86"/>
        <v>179.928</v>
      </c>
      <c r="O170" s="25">
        <f t="shared" si="87"/>
        <v>24.599999999999994</v>
      </c>
      <c r="P170" s="25">
        <f t="shared" si="88"/>
        <v>11.072000000000003</v>
      </c>
      <c r="Q170" s="29">
        <f t="shared" si="89"/>
        <v>6.1535725401271633E-2</v>
      </c>
      <c r="R170" s="30" t="s">
        <v>133</v>
      </c>
      <c r="S170" s="31" t="s">
        <v>244</v>
      </c>
    </row>
    <row r="171" spans="1:19" ht="17" thickBot="1">
      <c r="A171" s="227" t="s">
        <v>245</v>
      </c>
      <c r="B171" s="228"/>
      <c r="C171" s="32">
        <v>304</v>
      </c>
      <c r="D171" s="32">
        <f t="shared" si="79"/>
        <v>30.400000000000002</v>
      </c>
      <c r="E171" s="38"/>
      <c r="F171" s="23">
        <v>296</v>
      </c>
      <c r="G171" s="27">
        <f t="shared" si="80"/>
        <v>334.4</v>
      </c>
      <c r="H171" s="28">
        <f t="shared" si="81"/>
        <v>0.1148325358851674</v>
      </c>
      <c r="I171" s="44">
        <f t="shared" si="82"/>
        <v>0</v>
      </c>
      <c r="J171" s="44">
        <f t="shared" si="83"/>
        <v>0</v>
      </c>
      <c r="K171" s="39">
        <f t="shared" si="84"/>
        <v>273.60000000000002</v>
      </c>
      <c r="L171" s="32">
        <f t="shared" si="85"/>
        <v>5.4720000000000004</v>
      </c>
      <c r="M171" s="32"/>
      <c r="N171" s="32">
        <f t="shared" si="86"/>
        <v>279.072</v>
      </c>
      <c r="O171" s="32">
        <f t="shared" si="87"/>
        <v>38.399999999999977</v>
      </c>
      <c r="P171" s="32">
        <f t="shared" si="88"/>
        <v>16.927999999999997</v>
      </c>
      <c r="Q171" s="33">
        <f t="shared" si="89"/>
        <v>6.0658181401215448E-2</v>
      </c>
      <c r="R171" s="34" t="s">
        <v>133</v>
      </c>
      <c r="S171" s="35" t="s">
        <v>246</v>
      </c>
    </row>
    <row r="172" spans="1:19" ht="17" thickBot="1">
      <c r="A172" s="229" t="s">
        <v>247</v>
      </c>
      <c r="B172" s="228"/>
      <c r="C172" s="25">
        <v>460</v>
      </c>
      <c r="D172" s="25">
        <f t="shared" si="79"/>
        <v>46</v>
      </c>
      <c r="E172" s="38"/>
      <c r="F172" s="23">
        <v>448</v>
      </c>
      <c r="G172" s="27">
        <f t="shared" si="80"/>
        <v>506</v>
      </c>
      <c r="H172" s="28">
        <f t="shared" si="81"/>
        <v>0.11462450592885376</v>
      </c>
      <c r="I172" s="45">
        <f t="shared" si="82"/>
        <v>0</v>
      </c>
      <c r="J172" s="45">
        <f t="shared" si="83"/>
        <v>0</v>
      </c>
      <c r="K172" s="37">
        <f t="shared" si="84"/>
        <v>414</v>
      </c>
      <c r="L172" s="25">
        <f t="shared" si="85"/>
        <v>8.2799999999999994</v>
      </c>
      <c r="M172" s="25"/>
      <c r="N172" s="25">
        <f t="shared" si="86"/>
        <v>422.28</v>
      </c>
      <c r="O172" s="25">
        <f t="shared" si="87"/>
        <v>58</v>
      </c>
      <c r="P172" s="25">
        <f t="shared" si="88"/>
        <v>25.720000000000027</v>
      </c>
      <c r="Q172" s="29">
        <f t="shared" si="89"/>
        <v>6.0907454769347419E-2</v>
      </c>
      <c r="R172" s="30" t="s">
        <v>133</v>
      </c>
      <c r="S172" s="31" t="s">
        <v>248</v>
      </c>
    </row>
    <row r="173" spans="1:19" ht="17" thickBot="1">
      <c r="A173" s="227" t="s">
        <v>249</v>
      </c>
      <c r="B173" s="228"/>
      <c r="C173" s="32">
        <v>618</v>
      </c>
      <c r="D173" s="32">
        <f t="shared" si="79"/>
        <v>61.800000000000004</v>
      </c>
      <c r="E173" s="38"/>
      <c r="F173" s="23">
        <v>602</v>
      </c>
      <c r="G173" s="27">
        <f t="shared" si="80"/>
        <v>679.8</v>
      </c>
      <c r="H173" s="28">
        <f t="shared" si="81"/>
        <v>0.11444542512503672</v>
      </c>
      <c r="I173" s="44">
        <f t="shared" si="82"/>
        <v>0</v>
      </c>
      <c r="J173" s="44">
        <f t="shared" si="83"/>
        <v>0</v>
      </c>
      <c r="K173" s="39">
        <f t="shared" si="84"/>
        <v>556.20000000000005</v>
      </c>
      <c r="L173" s="32">
        <f t="shared" si="85"/>
        <v>11.124000000000001</v>
      </c>
      <c r="M173" s="32"/>
      <c r="N173" s="32">
        <f t="shared" si="86"/>
        <v>567.32400000000007</v>
      </c>
      <c r="O173" s="32">
        <f t="shared" si="87"/>
        <v>77.799999999999955</v>
      </c>
      <c r="P173" s="32">
        <f t="shared" si="88"/>
        <v>34.675999999999931</v>
      </c>
      <c r="Q173" s="33">
        <f t="shared" si="89"/>
        <v>6.1122039610522254E-2</v>
      </c>
      <c r="R173" s="34" t="s">
        <v>133</v>
      </c>
      <c r="S173" s="35" t="s">
        <v>250</v>
      </c>
    </row>
    <row r="174" spans="1:19" ht="17" thickBot="1">
      <c r="A174" s="229" t="s">
        <v>251</v>
      </c>
      <c r="B174" s="228"/>
      <c r="C174" s="25">
        <v>388</v>
      </c>
      <c r="D174" s="25">
        <f t="shared" si="79"/>
        <v>38.800000000000004</v>
      </c>
      <c r="E174" s="38"/>
      <c r="F174" s="23">
        <v>378</v>
      </c>
      <c r="G174" s="27">
        <f t="shared" si="80"/>
        <v>426.8</v>
      </c>
      <c r="H174" s="28">
        <f t="shared" si="81"/>
        <v>0.11433926897844426</v>
      </c>
      <c r="I174" s="45">
        <f t="shared" si="82"/>
        <v>0</v>
      </c>
      <c r="J174" s="45">
        <f t="shared" si="83"/>
        <v>0</v>
      </c>
      <c r="K174" s="37">
        <f t="shared" si="84"/>
        <v>349.2</v>
      </c>
      <c r="L174" s="25">
        <f t="shared" si="85"/>
        <v>6.984</v>
      </c>
      <c r="M174" s="25"/>
      <c r="N174" s="25">
        <f t="shared" si="86"/>
        <v>356.18399999999997</v>
      </c>
      <c r="O174" s="25">
        <f t="shared" si="87"/>
        <v>48.800000000000011</v>
      </c>
      <c r="P174" s="25">
        <f t="shared" si="88"/>
        <v>21.816000000000031</v>
      </c>
      <c r="Q174" s="29">
        <f t="shared" si="89"/>
        <v>6.1249241964827263E-2</v>
      </c>
      <c r="R174" s="30" t="s">
        <v>133</v>
      </c>
      <c r="S174" s="31" t="s">
        <v>252</v>
      </c>
    </row>
    <row r="175" spans="1:19" ht="17" thickBot="1">
      <c r="A175" s="266" t="s">
        <v>253</v>
      </c>
      <c r="B175" s="228"/>
      <c r="C175" s="66"/>
      <c r="D175" s="66"/>
      <c r="E175" s="38"/>
      <c r="F175" s="66"/>
      <c r="G175" s="67"/>
      <c r="H175" s="68"/>
      <c r="I175" s="69"/>
      <c r="J175" s="69"/>
      <c r="K175" s="69"/>
      <c r="L175" s="70"/>
      <c r="M175" s="70"/>
      <c r="N175" s="70"/>
      <c r="O175" s="70"/>
      <c r="P175" s="70"/>
      <c r="Q175" s="71"/>
      <c r="R175" s="73"/>
      <c r="S175" s="74"/>
    </row>
    <row r="176" spans="1:19" ht="62" customHeight="1" thickBot="1">
      <c r="A176" s="242" t="s">
        <v>254</v>
      </c>
      <c r="B176" s="228"/>
      <c r="C176" s="25"/>
      <c r="D176" s="25"/>
      <c r="E176" s="49"/>
      <c r="F176" s="23"/>
      <c r="G176" s="27"/>
      <c r="H176" s="28"/>
      <c r="I176" s="45"/>
      <c r="J176" s="45"/>
      <c r="K176" s="37"/>
      <c r="L176" s="25"/>
      <c r="M176" s="25"/>
      <c r="N176" s="25"/>
      <c r="O176" s="25"/>
      <c r="P176" s="25"/>
      <c r="Q176" s="29"/>
      <c r="R176" s="30"/>
      <c r="S176" s="31"/>
    </row>
    <row r="177" spans="1:19" ht="17" thickBot="1">
      <c r="A177" s="227" t="s">
        <v>255</v>
      </c>
      <c r="B177" s="228"/>
      <c r="C177" s="32">
        <v>80</v>
      </c>
      <c r="D177" s="32">
        <f t="shared" ref="D177:D185" si="90">C177*0.1</f>
        <v>8</v>
      </c>
      <c r="E177" s="49"/>
      <c r="F177" s="23">
        <v>78</v>
      </c>
      <c r="G177" s="27">
        <f t="shared" ref="G177:G185" si="91">C177+D177</f>
        <v>88</v>
      </c>
      <c r="H177" s="28">
        <f t="shared" ref="H177:H185" si="92">O177/G177</f>
        <v>0.11363636363636363</v>
      </c>
      <c r="I177" s="44">
        <f t="shared" ref="I177:I185" si="93">F177*E177</f>
        <v>0</v>
      </c>
      <c r="J177" s="44">
        <f t="shared" ref="J177:J185" si="94">(G177-F177)*E177</f>
        <v>0</v>
      </c>
      <c r="K177" s="39">
        <f t="shared" ref="K177:K185" si="95">C177*0.9</f>
        <v>72</v>
      </c>
      <c r="L177" s="32">
        <f t="shared" ref="L177:L185" si="96">K177*0.02</f>
        <v>1.44</v>
      </c>
      <c r="M177" s="32"/>
      <c r="N177" s="32">
        <f t="shared" ref="N177:N185" si="97">K177+L177</f>
        <v>73.44</v>
      </c>
      <c r="O177" s="32">
        <f t="shared" ref="O177:O185" si="98">G177-F177</f>
        <v>10</v>
      </c>
      <c r="P177" s="32">
        <f t="shared" ref="P177:P185" si="99">F177-N177</f>
        <v>4.5600000000000023</v>
      </c>
      <c r="Q177" s="33">
        <f t="shared" ref="Q177:Q185" si="100">P177/N177</f>
        <v>6.2091503267973892E-2</v>
      </c>
      <c r="R177" s="34" t="s">
        <v>133</v>
      </c>
      <c r="S177" s="35" t="s">
        <v>256</v>
      </c>
    </row>
    <row r="178" spans="1:19" ht="17" thickBot="1">
      <c r="A178" s="229" t="s">
        <v>257</v>
      </c>
      <c r="B178" s="228"/>
      <c r="C178" s="25">
        <v>153</v>
      </c>
      <c r="D178" s="25">
        <f t="shared" si="90"/>
        <v>15.3</v>
      </c>
      <c r="E178" s="49"/>
      <c r="F178" s="23">
        <v>149</v>
      </c>
      <c r="G178" s="27">
        <f t="shared" si="91"/>
        <v>168.3</v>
      </c>
      <c r="H178" s="28">
        <f t="shared" si="92"/>
        <v>0.11467617349970297</v>
      </c>
      <c r="I178" s="45">
        <f t="shared" si="93"/>
        <v>0</v>
      </c>
      <c r="J178" s="45">
        <f t="shared" si="94"/>
        <v>0</v>
      </c>
      <c r="K178" s="37">
        <f t="shared" si="95"/>
        <v>137.70000000000002</v>
      </c>
      <c r="L178" s="25">
        <f t="shared" si="96"/>
        <v>2.7540000000000004</v>
      </c>
      <c r="M178" s="25"/>
      <c r="N178" s="25">
        <f t="shared" si="97"/>
        <v>140.45400000000001</v>
      </c>
      <c r="O178" s="25">
        <f t="shared" si="98"/>
        <v>19.300000000000011</v>
      </c>
      <c r="P178" s="25">
        <f t="shared" si="99"/>
        <v>8.5459999999999923</v>
      </c>
      <c r="Q178" s="29">
        <f t="shared" si="100"/>
        <v>6.0845543736739373E-2</v>
      </c>
      <c r="R178" s="30" t="s">
        <v>133</v>
      </c>
      <c r="S178" s="31" t="s">
        <v>258</v>
      </c>
    </row>
    <row r="179" spans="1:19" ht="17" thickBot="1">
      <c r="A179" s="227" t="s">
        <v>259</v>
      </c>
      <c r="B179" s="228"/>
      <c r="C179" s="32">
        <v>109</v>
      </c>
      <c r="D179" s="32">
        <f t="shared" si="90"/>
        <v>10.9</v>
      </c>
      <c r="E179" s="49"/>
      <c r="F179" s="23">
        <v>107</v>
      </c>
      <c r="G179" s="27">
        <f t="shared" si="91"/>
        <v>119.9</v>
      </c>
      <c r="H179" s="28">
        <f t="shared" si="92"/>
        <v>0.10758965804837368</v>
      </c>
      <c r="I179" s="44">
        <f t="shared" si="93"/>
        <v>0</v>
      </c>
      <c r="J179" s="44">
        <f t="shared" si="94"/>
        <v>0</v>
      </c>
      <c r="K179" s="39">
        <f t="shared" si="95"/>
        <v>98.100000000000009</v>
      </c>
      <c r="L179" s="32">
        <f t="shared" si="96"/>
        <v>1.9620000000000002</v>
      </c>
      <c r="M179" s="32"/>
      <c r="N179" s="32">
        <f t="shared" si="97"/>
        <v>100.06200000000001</v>
      </c>
      <c r="O179" s="32">
        <f t="shared" si="98"/>
        <v>12.900000000000006</v>
      </c>
      <c r="P179" s="32">
        <f t="shared" si="99"/>
        <v>6.9379999999999882</v>
      </c>
      <c r="Q179" s="33">
        <f t="shared" si="100"/>
        <v>6.9337011053146921E-2</v>
      </c>
      <c r="R179" s="34" t="s">
        <v>133</v>
      </c>
      <c r="S179" s="35" t="s">
        <v>260</v>
      </c>
    </row>
    <row r="180" spans="1:19" ht="17" thickBot="1">
      <c r="A180" s="229" t="s">
        <v>261</v>
      </c>
      <c r="B180" s="228"/>
      <c r="C180" s="25">
        <v>198</v>
      </c>
      <c r="D180" s="25">
        <f t="shared" si="90"/>
        <v>19.8</v>
      </c>
      <c r="E180" s="49"/>
      <c r="F180" s="23">
        <v>193</v>
      </c>
      <c r="G180" s="27">
        <f t="shared" si="91"/>
        <v>217.8</v>
      </c>
      <c r="H180" s="28">
        <f t="shared" si="92"/>
        <v>0.11386593204775028</v>
      </c>
      <c r="I180" s="45">
        <f t="shared" si="93"/>
        <v>0</v>
      </c>
      <c r="J180" s="45">
        <f t="shared" si="94"/>
        <v>0</v>
      </c>
      <c r="K180" s="37">
        <f t="shared" si="95"/>
        <v>178.20000000000002</v>
      </c>
      <c r="L180" s="25">
        <f t="shared" si="96"/>
        <v>3.5640000000000005</v>
      </c>
      <c r="M180" s="25"/>
      <c r="N180" s="25">
        <f t="shared" si="97"/>
        <v>181.76400000000001</v>
      </c>
      <c r="O180" s="25">
        <f t="shared" si="98"/>
        <v>24.800000000000011</v>
      </c>
      <c r="P180" s="25">
        <f t="shared" si="99"/>
        <v>11.23599999999999</v>
      </c>
      <c r="Q180" s="29">
        <f t="shared" si="100"/>
        <v>6.181642129354542E-2</v>
      </c>
      <c r="R180" s="30" t="s">
        <v>133</v>
      </c>
      <c r="S180" s="31" t="s">
        <v>262</v>
      </c>
    </row>
    <row r="181" spans="1:19" ht="17" thickBot="1">
      <c r="A181" s="227" t="s">
        <v>263</v>
      </c>
      <c r="B181" s="228"/>
      <c r="C181" s="32">
        <v>380</v>
      </c>
      <c r="D181" s="32">
        <f t="shared" si="90"/>
        <v>38</v>
      </c>
      <c r="E181" s="49"/>
      <c r="F181" s="23">
        <v>370</v>
      </c>
      <c r="G181" s="27">
        <f t="shared" si="91"/>
        <v>418</v>
      </c>
      <c r="H181" s="28">
        <f t="shared" si="92"/>
        <v>0.11483253588516747</v>
      </c>
      <c r="I181" s="44">
        <f t="shared" si="93"/>
        <v>0</v>
      </c>
      <c r="J181" s="44">
        <f t="shared" si="94"/>
        <v>0</v>
      </c>
      <c r="K181" s="39">
        <f t="shared" si="95"/>
        <v>342</v>
      </c>
      <c r="L181" s="32">
        <f t="shared" si="96"/>
        <v>6.84</v>
      </c>
      <c r="M181" s="32"/>
      <c r="N181" s="32">
        <f t="shared" si="97"/>
        <v>348.84</v>
      </c>
      <c r="O181" s="32">
        <f t="shared" si="98"/>
        <v>48</v>
      </c>
      <c r="P181" s="32">
        <f t="shared" si="99"/>
        <v>21.160000000000025</v>
      </c>
      <c r="Q181" s="33">
        <f t="shared" si="100"/>
        <v>6.0658181401215532E-2</v>
      </c>
      <c r="R181" s="34" t="s">
        <v>133</v>
      </c>
      <c r="S181" s="35" t="s">
        <v>264</v>
      </c>
    </row>
    <row r="182" spans="1:19" ht="17" thickBot="1">
      <c r="A182" s="229" t="s">
        <v>265</v>
      </c>
      <c r="B182" s="228"/>
      <c r="C182" s="25">
        <v>485</v>
      </c>
      <c r="D182" s="25">
        <f t="shared" si="90"/>
        <v>48.5</v>
      </c>
      <c r="E182" s="49"/>
      <c r="F182" s="23">
        <v>472</v>
      </c>
      <c r="G182" s="27">
        <f t="shared" si="91"/>
        <v>533.5</v>
      </c>
      <c r="H182" s="28">
        <f t="shared" si="92"/>
        <v>0.11527647610121837</v>
      </c>
      <c r="I182" s="45">
        <f t="shared" si="93"/>
        <v>0</v>
      </c>
      <c r="J182" s="45">
        <f t="shared" si="94"/>
        <v>0</v>
      </c>
      <c r="K182" s="37">
        <f t="shared" si="95"/>
        <v>436.5</v>
      </c>
      <c r="L182" s="25">
        <f t="shared" si="96"/>
        <v>8.73</v>
      </c>
      <c r="M182" s="25"/>
      <c r="N182" s="25">
        <f t="shared" si="97"/>
        <v>445.23</v>
      </c>
      <c r="O182" s="25">
        <f t="shared" si="98"/>
        <v>61.5</v>
      </c>
      <c r="P182" s="25">
        <f t="shared" si="99"/>
        <v>26.769999999999982</v>
      </c>
      <c r="Q182" s="29">
        <f t="shared" si="100"/>
        <v>6.0126226893964872E-2</v>
      </c>
      <c r="R182" s="30" t="s">
        <v>133</v>
      </c>
      <c r="S182" s="31" t="s">
        <v>266</v>
      </c>
    </row>
    <row r="183" spans="1:19" ht="17" thickBot="1">
      <c r="A183" s="227" t="s">
        <v>267</v>
      </c>
      <c r="B183" s="228"/>
      <c r="C183" s="32">
        <v>510</v>
      </c>
      <c r="D183" s="32">
        <f t="shared" si="90"/>
        <v>51</v>
      </c>
      <c r="E183" s="49"/>
      <c r="F183" s="23">
        <v>497</v>
      </c>
      <c r="G183" s="27">
        <f t="shared" si="91"/>
        <v>561</v>
      </c>
      <c r="H183" s="28">
        <f t="shared" si="92"/>
        <v>0.1140819964349376</v>
      </c>
      <c r="I183" s="44">
        <f t="shared" si="93"/>
        <v>0</v>
      </c>
      <c r="J183" s="44">
        <f t="shared" si="94"/>
        <v>0</v>
      </c>
      <c r="K183" s="39">
        <f t="shared" si="95"/>
        <v>459</v>
      </c>
      <c r="L183" s="32">
        <f t="shared" si="96"/>
        <v>9.18</v>
      </c>
      <c r="M183" s="32"/>
      <c r="N183" s="32">
        <f t="shared" si="97"/>
        <v>468.18</v>
      </c>
      <c r="O183" s="32">
        <f t="shared" si="98"/>
        <v>64</v>
      </c>
      <c r="P183" s="32">
        <f t="shared" si="99"/>
        <v>28.819999999999993</v>
      </c>
      <c r="Q183" s="33">
        <f t="shared" si="100"/>
        <v>6.1557520611730518E-2</v>
      </c>
      <c r="R183" s="34" t="s">
        <v>133</v>
      </c>
      <c r="S183" s="35" t="s">
        <v>268</v>
      </c>
    </row>
    <row r="184" spans="1:19" ht="17" thickBot="1">
      <c r="A184" s="229" t="s">
        <v>269</v>
      </c>
      <c r="B184" s="228"/>
      <c r="C184" s="25">
        <v>755</v>
      </c>
      <c r="D184" s="25">
        <f t="shared" si="90"/>
        <v>75.5</v>
      </c>
      <c r="E184" s="49"/>
      <c r="F184" s="23">
        <v>735</v>
      </c>
      <c r="G184" s="27">
        <f t="shared" si="91"/>
        <v>830.5</v>
      </c>
      <c r="H184" s="28">
        <f t="shared" si="92"/>
        <v>0.11499096929560505</v>
      </c>
      <c r="I184" s="45">
        <f t="shared" si="93"/>
        <v>0</v>
      </c>
      <c r="J184" s="45">
        <f t="shared" si="94"/>
        <v>0</v>
      </c>
      <c r="K184" s="37">
        <f t="shared" si="95"/>
        <v>679.5</v>
      </c>
      <c r="L184" s="25">
        <f t="shared" si="96"/>
        <v>13.59</v>
      </c>
      <c r="M184" s="25"/>
      <c r="N184" s="25">
        <f t="shared" si="97"/>
        <v>693.09</v>
      </c>
      <c r="O184" s="25">
        <f t="shared" si="98"/>
        <v>95.5</v>
      </c>
      <c r="P184" s="25">
        <f t="shared" si="99"/>
        <v>41.909999999999968</v>
      </c>
      <c r="Q184" s="29">
        <f t="shared" si="100"/>
        <v>6.0468337445353369E-2</v>
      </c>
      <c r="R184" s="30" t="s">
        <v>133</v>
      </c>
      <c r="S184" s="31" t="s">
        <v>270</v>
      </c>
    </row>
    <row r="185" spans="1:19" ht="17" thickBot="1">
      <c r="A185" s="227" t="s">
        <v>271</v>
      </c>
      <c r="B185" s="228"/>
      <c r="C185" s="32">
        <v>590</v>
      </c>
      <c r="D185" s="32">
        <f t="shared" si="90"/>
        <v>59</v>
      </c>
      <c r="E185" s="49"/>
      <c r="F185" s="23">
        <v>575</v>
      </c>
      <c r="G185" s="27">
        <f t="shared" si="91"/>
        <v>649</v>
      </c>
      <c r="H185" s="28">
        <f t="shared" si="92"/>
        <v>0.1140215716486903</v>
      </c>
      <c r="I185" s="44">
        <f t="shared" si="93"/>
        <v>0</v>
      </c>
      <c r="J185" s="44">
        <f t="shared" si="94"/>
        <v>0</v>
      </c>
      <c r="K185" s="39">
        <f t="shared" si="95"/>
        <v>531</v>
      </c>
      <c r="L185" s="32">
        <f t="shared" si="96"/>
        <v>10.620000000000001</v>
      </c>
      <c r="M185" s="32"/>
      <c r="N185" s="32">
        <f t="shared" si="97"/>
        <v>541.62</v>
      </c>
      <c r="O185" s="32">
        <f t="shared" si="98"/>
        <v>74</v>
      </c>
      <c r="P185" s="32">
        <f t="shared" si="99"/>
        <v>33.379999999999995</v>
      </c>
      <c r="Q185" s="33">
        <f t="shared" si="100"/>
        <v>6.1629925039695721E-2</v>
      </c>
      <c r="R185" s="34" t="s">
        <v>133</v>
      </c>
      <c r="S185" s="35" t="s">
        <v>272</v>
      </c>
    </row>
    <row r="186" spans="1:19" ht="17" thickBot="1">
      <c r="A186" s="266" t="s">
        <v>273</v>
      </c>
      <c r="B186" s="228"/>
      <c r="C186" s="66"/>
      <c r="D186" s="66"/>
      <c r="E186" s="38"/>
      <c r="F186" s="66"/>
      <c r="G186" s="67"/>
      <c r="H186" s="68"/>
      <c r="I186" s="69"/>
      <c r="J186" s="69"/>
      <c r="K186" s="69"/>
      <c r="L186" s="70"/>
      <c r="M186" s="70"/>
      <c r="N186" s="70"/>
      <c r="O186" s="70"/>
      <c r="P186" s="70"/>
      <c r="Q186" s="71"/>
      <c r="R186" s="73"/>
      <c r="S186" s="74"/>
    </row>
    <row r="187" spans="1:19" ht="34" customHeight="1" thickBot="1">
      <c r="A187" s="271" t="s">
        <v>274</v>
      </c>
      <c r="B187" s="228"/>
      <c r="C187" s="32"/>
      <c r="D187" s="32"/>
      <c r="E187" s="49"/>
      <c r="F187" s="23"/>
      <c r="G187" s="27"/>
      <c r="H187" s="28"/>
      <c r="I187" s="44"/>
      <c r="J187" s="44"/>
      <c r="K187" s="39"/>
      <c r="L187" s="32"/>
      <c r="M187" s="32"/>
      <c r="N187" s="32"/>
      <c r="O187" s="32"/>
      <c r="P187" s="32"/>
      <c r="Q187" s="33"/>
      <c r="R187" s="34"/>
      <c r="S187" s="35"/>
    </row>
    <row r="188" spans="1:19" ht="17" thickBot="1">
      <c r="A188" s="229" t="s">
        <v>275</v>
      </c>
      <c r="B188" s="228"/>
      <c r="C188" s="25">
        <v>225</v>
      </c>
      <c r="D188" s="25">
        <f>C188*0.1</f>
        <v>22.5</v>
      </c>
      <c r="E188" s="49"/>
      <c r="F188" s="23">
        <v>219</v>
      </c>
      <c r="G188" s="27">
        <f>C188+D188</f>
        <v>247.5</v>
      </c>
      <c r="H188" s="28">
        <f>O188/G188</f>
        <v>0.11515151515151516</v>
      </c>
      <c r="I188" s="45">
        <f>F188*E188</f>
        <v>0</v>
      </c>
      <c r="J188" s="45">
        <f>(G188-F188)*E188</f>
        <v>0</v>
      </c>
      <c r="K188" s="37">
        <f>C188*0.9</f>
        <v>202.5</v>
      </c>
      <c r="L188" s="25">
        <f>K188*0.02</f>
        <v>4.05</v>
      </c>
      <c r="M188" s="25"/>
      <c r="N188" s="25">
        <f>K188+L188</f>
        <v>206.55</v>
      </c>
      <c r="O188" s="25">
        <f>G188-F188</f>
        <v>28.5</v>
      </c>
      <c r="P188" s="25">
        <f>F188-N188</f>
        <v>12.449999999999989</v>
      </c>
      <c r="Q188" s="29">
        <f>P188/N188</f>
        <v>6.0275962236746493E-2</v>
      </c>
      <c r="R188" s="30" t="s">
        <v>133</v>
      </c>
      <c r="S188" s="31" t="s">
        <v>276</v>
      </c>
    </row>
    <row r="189" spans="1:19" ht="17" thickBot="1">
      <c r="A189" s="227" t="s">
        <v>277</v>
      </c>
      <c r="B189" s="228"/>
      <c r="C189" s="32">
        <v>515</v>
      </c>
      <c r="D189" s="32">
        <f>C189*0.1</f>
        <v>51.5</v>
      </c>
      <c r="E189" s="49"/>
      <c r="F189" s="23">
        <v>502</v>
      </c>
      <c r="G189" s="27">
        <f>C189+D189</f>
        <v>566.5</v>
      </c>
      <c r="H189" s="28">
        <f>O189/G189</f>
        <v>0.11385701676963812</v>
      </c>
      <c r="I189" s="44">
        <f>F189*E189</f>
        <v>0</v>
      </c>
      <c r="J189" s="44">
        <f>(G189-F189)*E189</f>
        <v>0</v>
      </c>
      <c r="K189" s="39">
        <f>C189*0.9</f>
        <v>463.5</v>
      </c>
      <c r="L189" s="32">
        <f>K189*0.02</f>
        <v>9.27</v>
      </c>
      <c r="M189" s="32"/>
      <c r="N189" s="32">
        <f>K189+L189</f>
        <v>472.77</v>
      </c>
      <c r="O189" s="32">
        <f>G189-F189</f>
        <v>64.5</v>
      </c>
      <c r="P189" s="32">
        <f>F189-N189</f>
        <v>29.230000000000018</v>
      </c>
      <c r="Q189" s="33">
        <f>P189/N189</f>
        <v>6.1827104088668948E-2</v>
      </c>
      <c r="R189" s="34" t="s">
        <v>133</v>
      </c>
      <c r="S189" s="35" t="s">
        <v>278</v>
      </c>
    </row>
    <row r="190" spans="1:19" ht="17" thickBot="1">
      <c r="A190" s="229" t="s">
        <v>279</v>
      </c>
      <c r="B190" s="228"/>
      <c r="C190" s="25">
        <v>790</v>
      </c>
      <c r="D190" s="25">
        <f>C190*0.1</f>
        <v>79</v>
      </c>
      <c r="E190" s="49"/>
      <c r="F190" s="23">
        <v>769</v>
      </c>
      <c r="G190" s="27">
        <f>C190+D190</f>
        <v>869</v>
      </c>
      <c r="H190" s="28">
        <f>O190/G190</f>
        <v>0.11507479861910241</v>
      </c>
      <c r="I190" s="45">
        <f>F190*E190</f>
        <v>0</v>
      </c>
      <c r="J190" s="45">
        <f>(G190-F190)*E190</f>
        <v>0</v>
      </c>
      <c r="K190" s="37">
        <f>C190*0.9</f>
        <v>711</v>
      </c>
      <c r="L190" s="25">
        <f>K190*0.02</f>
        <v>14.22</v>
      </c>
      <c r="M190" s="25"/>
      <c r="N190" s="25">
        <f>K190+L190</f>
        <v>725.22</v>
      </c>
      <c r="O190" s="25">
        <f>G190-F190</f>
        <v>100</v>
      </c>
      <c r="P190" s="25">
        <f>F190-N190</f>
        <v>43.779999999999973</v>
      </c>
      <c r="Q190" s="29">
        <f>P190/N190</f>
        <v>6.0367888364909916E-2</v>
      </c>
      <c r="R190" s="30" t="s">
        <v>133</v>
      </c>
      <c r="S190" s="31" t="s">
        <v>280</v>
      </c>
    </row>
    <row r="191" spans="1:19" ht="17" thickBot="1">
      <c r="A191" s="227" t="s">
        <v>281</v>
      </c>
      <c r="B191" s="228"/>
      <c r="C191" s="32">
        <v>430</v>
      </c>
      <c r="D191" s="32">
        <f>C191*0.1</f>
        <v>43</v>
      </c>
      <c r="E191" s="49"/>
      <c r="F191" s="23">
        <v>419</v>
      </c>
      <c r="G191" s="27">
        <f>C191+D191</f>
        <v>473</v>
      </c>
      <c r="H191" s="28">
        <f>O191/G191</f>
        <v>0.11416490486257928</v>
      </c>
      <c r="I191" s="44">
        <f>F191*E191</f>
        <v>0</v>
      </c>
      <c r="J191" s="44">
        <f>(G191-F191)*E191</f>
        <v>0</v>
      </c>
      <c r="K191" s="39">
        <f>C191*0.9</f>
        <v>387</v>
      </c>
      <c r="L191" s="32">
        <f>K191*0.02</f>
        <v>7.74</v>
      </c>
      <c r="M191" s="32"/>
      <c r="N191" s="32">
        <f>K191+L191</f>
        <v>394.74</v>
      </c>
      <c r="O191" s="32">
        <f>G191-F191</f>
        <v>54</v>
      </c>
      <c r="P191" s="32">
        <f>F191-N191</f>
        <v>24.259999999999991</v>
      </c>
      <c r="Q191" s="33">
        <f>P191/N191</f>
        <v>6.1458175001266629E-2</v>
      </c>
      <c r="R191" s="34" t="s">
        <v>133</v>
      </c>
      <c r="S191" s="35" t="s">
        <v>282</v>
      </c>
    </row>
    <row r="192" spans="1:19" ht="17" thickBot="1">
      <c r="A192" s="229" t="s">
        <v>283</v>
      </c>
      <c r="B192" s="228"/>
      <c r="C192" s="25">
        <v>1025</v>
      </c>
      <c r="D192" s="25">
        <f>C192*0.1</f>
        <v>102.5</v>
      </c>
      <c r="E192" s="49"/>
      <c r="F192" s="23">
        <v>998</v>
      </c>
      <c r="G192" s="27">
        <f>C192+D192</f>
        <v>1127.5</v>
      </c>
      <c r="H192" s="28">
        <f>O192/G192</f>
        <v>0.11485587583148558</v>
      </c>
      <c r="I192" s="45">
        <f>F192*E192</f>
        <v>0</v>
      </c>
      <c r="J192" s="45">
        <f>(G192-F192)*E192</f>
        <v>0</v>
      </c>
      <c r="K192" s="37">
        <f>C192*0.9</f>
        <v>922.5</v>
      </c>
      <c r="L192" s="25">
        <f>K192*0.02</f>
        <v>18.45</v>
      </c>
      <c r="M192" s="25"/>
      <c r="N192" s="25">
        <f>K192+L192</f>
        <v>940.95</v>
      </c>
      <c r="O192" s="25">
        <f>G192-F192</f>
        <v>129.5</v>
      </c>
      <c r="P192" s="25">
        <f>F192-N192</f>
        <v>57.049999999999955</v>
      </c>
      <c r="Q192" s="29">
        <f>P192/N192</f>
        <v>6.0630214145278659E-2</v>
      </c>
      <c r="R192" s="30" t="s">
        <v>133</v>
      </c>
      <c r="S192" s="31" t="s">
        <v>284</v>
      </c>
    </row>
    <row r="193" spans="1:19" ht="17" thickBot="1">
      <c r="A193" s="238" t="s">
        <v>285</v>
      </c>
      <c r="B193" s="272"/>
      <c r="C193" s="46"/>
      <c r="D193" s="46"/>
      <c r="E193" s="22"/>
      <c r="F193" s="23"/>
      <c r="G193" s="24"/>
      <c r="H193" s="28"/>
      <c r="I193" s="238"/>
      <c r="J193" s="232"/>
      <c r="K193" s="238"/>
      <c r="L193" s="232"/>
      <c r="M193" s="238"/>
      <c r="N193" s="232"/>
      <c r="O193" s="238"/>
      <c r="P193" s="232"/>
      <c r="Q193" s="238"/>
      <c r="R193" s="232"/>
      <c r="S193" s="153"/>
    </row>
    <row r="194" spans="1:19" ht="48" customHeight="1" thickBot="1">
      <c r="A194" s="273" t="s">
        <v>286</v>
      </c>
      <c r="B194" s="228"/>
      <c r="C194" s="25"/>
      <c r="D194" s="25"/>
      <c r="E194" s="49"/>
      <c r="F194" s="23"/>
      <c r="G194" s="27"/>
      <c r="H194" s="28"/>
      <c r="I194" s="45"/>
      <c r="J194" s="45"/>
      <c r="K194" s="37"/>
      <c r="L194" s="25"/>
      <c r="M194" s="25"/>
      <c r="N194" s="25"/>
      <c r="O194" s="25"/>
      <c r="P194" s="25"/>
      <c r="Q194" s="29"/>
      <c r="R194" s="30"/>
      <c r="S194" s="31"/>
    </row>
    <row r="195" spans="1:19" ht="17" thickBot="1">
      <c r="A195" s="263" t="s">
        <v>287</v>
      </c>
      <c r="B195" s="228"/>
      <c r="C195" s="32">
        <v>38.5</v>
      </c>
      <c r="D195" s="32">
        <f>C195*0.1</f>
        <v>3.85</v>
      </c>
      <c r="E195" s="49"/>
      <c r="F195" s="23">
        <v>38</v>
      </c>
      <c r="G195" s="27">
        <f t="shared" ref="G195:G201" si="101">C195+D195</f>
        <v>42.35</v>
      </c>
      <c r="H195" s="28">
        <f t="shared" ref="H195:H201" si="102">O195/G195</f>
        <v>0.10271546635183001</v>
      </c>
      <c r="I195" s="44">
        <f t="shared" ref="I195:I201" si="103">F195*E195</f>
        <v>0</v>
      </c>
      <c r="J195" s="44">
        <f t="shared" ref="J195:J201" si="104">(G195-F195)*E195</f>
        <v>0</v>
      </c>
      <c r="K195" s="39">
        <f t="shared" ref="K195:K201" si="105">C195*0.9</f>
        <v>34.65</v>
      </c>
      <c r="L195" s="32">
        <f t="shared" ref="L195:L201" si="106">K195*0.02</f>
        <v>0.69299999999999995</v>
      </c>
      <c r="M195" s="32"/>
      <c r="N195" s="32">
        <f t="shared" ref="N195:N201" si="107">K195+L195</f>
        <v>35.342999999999996</v>
      </c>
      <c r="O195" s="32">
        <f t="shared" ref="O195:O201" si="108">G195-F195</f>
        <v>4.3500000000000014</v>
      </c>
      <c r="P195" s="32">
        <f t="shared" ref="P195:P201" si="109">F195-N195</f>
        <v>2.6570000000000036</v>
      </c>
      <c r="Q195" s="33">
        <f t="shared" ref="Q195:Q201" si="110">P195/N195</f>
        <v>7.5177545765781173E-2</v>
      </c>
      <c r="R195" s="34" t="s">
        <v>133</v>
      </c>
      <c r="S195" s="35" t="s">
        <v>288</v>
      </c>
    </row>
    <row r="196" spans="1:19" ht="17" thickBot="1">
      <c r="A196" s="262" t="s">
        <v>289</v>
      </c>
      <c r="B196" s="228"/>
      <c r="C196" s="25">
        <v>50.5</v>
      </c>
      <c r="D196" s="25">
        <f>C196*0.1</f>
        <v>5.0500000000000007</v>
      </c>
      <c r="E196" s="49"/>
      <c r="F196" s="23">
        <v>50</v>
      </c>
      <c r="G196" s="27">
        <f t="shared" si="101"/>
        <v>55.55</v>
      </c>
      <c r="H196" s="28">
        <f t="shared" si="102"/>
        <v>9.9909990999099862E-2</v>
      </c>
      <c r="I196" s="45">
        <f t="shared" si="103"/>
        <v>0</v>
      </c>
      <c r="J196" s="45">
        <f t="shared" si="104"/>
        <v>0</v>
      </c>
      <c r="K196" s="37">
        <f t="shared" si="105"/>
        <v>45.45</v>
      </c>
      <c r="L196" s="25">
        <f t="shared" si="106"/>
        <v>0.90900000000000003</v>
      </c>
      <c r="M196" s="25"/>
      <c r="N196" s="25">
        <f t="shared" si="107"/>
        <v>46.359000000000002</v>
      </c>
      <c r="O196" s="25">
        <f t="shared" si="108"/>
        <v>5.5499999999999972</v>
      </c>
      <c r="P196" s="25">
        <f t="shared" si="109"/>
        <v>3.6409999999999982</v>
      </c>
      <c r="Q196" s="29">
        <f t="shared" si="110"/>
        <v>7.8539226471666737E-2</v>
      </c>
      <c r="R196" s="30" t="s">
        <v>133</v>
      </c>
      <c r="S196" s="31" t="s">
        <v>290</v>
      </c>
    </row>
    <row r="197" spans="1:19" ht="17" thickBot="1">
      <c r="A197" s="263" t="s">
        <v>291</v>
      </c>
      <c r="B197" s="228"/>
      <c r="C197" s="32">
        <v>75.5</v>
      </c>
      <c r="D197" s="32">
        <f>C197*0.1</f>
        <v>7.5500000000000007</v>
      </c>
      <c r="E197" s="49"/>
      <c r="F197" s="23">
        <v>75</v>
      </c>
      <c r="G197" s="27">
        <f t="shared" si="101"/>
        <v>83.05</v>
      </c>
      <c r="H197" s="28">
        <f t="shared" si="102"/>
        <v>9.6929560505719409E-2</v>
      </c>
      <c r="I197" s="44">
        <f t="shared" si="103"/>
        <v>0</v>
      </c>
      <c r="J197" s="44">
        <f t="shared" si="104"/>
        <v>0</v>
      </c>
      <c r="K197" s="39">
        <f t="shared" si="105"/>
        <v>67.95</v>
      </c>
      <c r="L197" s="32">
        <f t="shared" si="106"/>
        <v>1.359</v>
      </c>
      <c r="M197" s="32"/>
      <c r="N197" s="32">
        <f t="shared" si="107"/>
        <v>69.308999999999997</v>
      </c>
      <c r="O197" s="32">
        <f t="shared" si="108"/>
        <v>8.0499999999999972</v>
      </c>
      <c r="P197" s="32">
        <f t="shared" si="109"/>
        <v>5.6910000000000025</v>
      </c>
      <c r="Q197" s="33">
        <f t="shared" si="110"/>
        <v>8.2110548413625972E-2</v>
      </c>
      <c r="R197" s="34" t="s">
        <v>133</v>
      </c>
      <c r="S197" s="35" t="s">
        <v>292</v>
      </c>
    </row>
    <row r="198" spans="1:19" ht="17" thickBot="1">
      <c r="A198" s="262" t="s">
        <v>293</v>
      </c>
      <c r="B198" s="228"/>
      <c r="C198" s="53">
        <v>133</v>
      </c>
      <c r="D198" s="53">
        <v>40</v>
      </c>
      <c r="E198" s="49"/>
      <c r="F198" s="23">
        <v>132</v>
      </c>
      <c r="G198" s="27">
        <f t="shared" si="101"/>
        <v>173</v>
      </c>
      <c r="H198" s="28">
        <f t="shared" si="102"/>
        <v>0.23699421965317918</v>
      </c>
      <c r="I198" s="45">
        <f t="shared" si="103"/>
        <v>0</v>
      </c>
      <c r="J198" s="45">
        <f t="shared" si="104"/>
        <v>0</v>
      </c>
      <c r="K198" s="37">
        <f t="shared" si="105"/>
        <v>119.7</v>
      </c>
      <c r="L198" s="25">
        <f t="shared" si="106"/>
        <v>2.3940000000000001</v>
      </c>
      <c r="M198" s="25"/>
      <c r="N198" s="25">
        <f t="shared" si="107"/>
        <v>122.09400000000001</v>
      </c>
      <c r="O198" s="25">
        <f t="shared" si="108"/>
        <v>41</v>
      </c>
      <c r="P198" s="25">
        <f t="shared" si="109"/>
        <v>9.9059999999999917</v>
      </c>
      <c r="Q198" s="29">
        <f t="shared" si="110"/>
        <v>8.1134208069192512E-2</v>
      </c>
      <c r="R198" s="30" t="s">
        <v>133</v>
      </c>
      <c r="S198" s="31" t="s">
        <v>294</v>
      </c>
    </row>
    <row r="199" spans="1:19" ht="17" thickBot="1">
      <c r="A199" s="263" t="s">
        <v>295</v>
      </c>
      <c r="B199" s="228"/>
      <c r="C199" s="52">
        <v>157</v>
      </c>
      <c r="D199" s="52">
        <v>40</v>
      </c>
      <c r="E199" s="49"/>
      <c r="F199" s="23">
        <v>155</v>
      </c>
      <c r="G199" s="27">
        <f t="shared" si="101"/>
        <v>197</v>
      </c>
      <c r="H199" s="28">
        <f t="shared" si="102"/>
        <v>0.21319796954314721</v>
      </c>
      <c r="I199" s="44">
        <f t="shared" si="103"/>
        <v>0</v>
      </c>
      <c r="J199" s="44">
        <f t="shared" si="104"/>
        <v>0</v>
      </c>
      <c r="K199" s="39">
        <f t="shared" si="105"/>
        <v>141.30000000000001</v>
      </c>
      <c r="L199" s="32">
        <f t="shared" si="106"/>
        <v>2.8260000000000001</v>
      </c>
      <c r="M199" s="32"/>
      <c r="N199" s="32">
        <f t="shared" si="107"/>
        <v>144.126</v>
      </c>
      <c r="O199" s="32">
        <f t="shared" si="108"/>
        <v>42</v>
      </c>
      <c r="P199" s="32">
        <f t="shared" si="109"/>
        <v>10.873999999999995</v>
      </c>
      <c r="Q199" s="33">
        <f t="shared" si="110"/>
        <v>7.544787200088808E-2</v>
      </c>
      <c r="R199" s="34" t="s">
        <v>133</v>
      </c>
      <c r="S199" s="35" t="s">
        <v>296</v>
      </c>
    </row>
    <row r="200" spans="1:19" ht="17" thickBot="1">
      <c r="A200" s="262" t="s">
        <v>297</v>
      </c>
      <c r="B200" s="228"/>
      <c r="C200" s="53">
        <v>195</v>
      </c>
      <c r="D200" s="53">
        <v>40</v>
      </c>
      <c r="E200" s="49"/>
      <c r="F200" s="23">
        <v>192</v>
      </c>
      <c r="G200" s="27">
        <f t="shared" si="101"/>
        <v>235</v>
      </c>
      <c r="H200" s="28">
        <f t="shared" si="102"/>
        <v>0.18297872340425531</v>
      </c>
      <c r="I200" s="45">
        <f t="shared" si="103"/>
        <v>0</v>
      </c>
      <c r="J200" s="45">
        <f t="shared" si="104"/>
        <v>0</v>
      </c>
      <c r="K200" s="37">
        <f t="shared" si="105"/>
        <v>175.5</v>
      </c>
      <c r="L200" s="25">
        <f t="shared" si="106"/>
        <v>3.5100000000000002</v>
      </c>
      <c r="M200" s="25"/>
      <c r="N200" s="25">
        <f t="shared" si="107"/>
        <v>179.01</v>
      </c>
      <c r="O200" s="25">
        <f t="shared" si="108"/>
        <v>43</v>
      </c>
      <c r="P200" s="25">
        <f t="shared" si="109"/>
        <v>12.990000000000009</v>
      </c>
      <c r="Q200" s="29">
        <f t="shared" si="110"/>
        <v>7.2565778448131446E-2</v>
      </c>
      <c r="R200" s="30" t="s">
        <v>133</v>
      </c>
      <c r="S200" s="31" t="s">
        <v>298</v>
      </c>
    </row>
    <row r="201" spans="1:19" ht="17" thickBot="1">
      <c r="A201" s="227" t="s">
        <v>299</v>
      </c>
      <c r="B201" s="228"/>
      <c r="C201" s="32">
        <v>32</v>
      </c>
      <c r="D201" s="32">
        <f>C201*0.1</f>
        <v>3.2</v>
      </c>
      <c r="E201" s="49"/>
      <c r="F201" s="23">
        <v>31</v>
      </c>
      <c r="G201" s="27">
        <f t="shared" si="101"/>
        <v>35.200000000000003</v>
      </c>
      <c r="H201" s="28">
        <f t="shared" si="102"/>
        <v>0.11931818181818189</v>
      </c>
      <c r="I201" s="44">
        <f t="shared" si="103"/>
        <v>0</v>
      </c>
      <c r="J201" s="44">
        <f t="shared" si="104"/>
        <v>0</v>
      </c>
      <c r="K201" s="39">
        <f t="shared" si="105"/>
        <v>28.8</v>
      </c>
      <c r="L201" s="32">
        <f t="shared" si="106"/>
        <v>0.57600000000000007</v>
      </c>
      <c r="M201" s="32"/>
      <c r="N201" s="32">
        <f t="shared" si="107"/>
        <v>29.376000000000001</v>
      </c>
      <c r="O201" s="32">
        <f t="shared" si="108"/>
        <v>4.2000000000000028</v>
      </c>
      <c r="P201" s="32">
        <f t="shared" si="109"/>
        <v>1.6239999999999988</v>
      </c>
      <c r="Q201" s="33">
        <f t="shared" si="110"/>
        <v>5.5283224400871418E-2</v>
      </c>
      <c r="R201" s="34" t="s">
        <v>133</v>
      </c>
      <c r="S201" s="35" t="s">
        <v>300</v>
      </c>
    </row>
    <row r="202" spans="1:19" ht="17" thickBot="1">
      <c r="A202" s="238" t="s">
        <v>301</v>
      </c>
      <c r="B202" s="232"/>
      <c r="C202" s="46"/>
      <c r="D202" s="46"/>
      <c r="E202" s="22"/>
      <c r="F202" s="23"/>
      <c r="G202" s="24"/>
      <c r="H202" s="28"/>
      <c r="I202" s="238"/>
      <c r="J202" s="232"/>
      <c r="K202" s="238"/>
      <c r="L202" s="232"/>
      <c r="M202" s="238"/>
      <c r="N202" s="232"/>
      <c r="O202" s="238"/>
      <c r="P202" s="232"/>
      <c r="Q202" s="238"/>
      <c r="R202" s="232"/>
      <c r="S202" s="153"/>
    </row>
    <row r="203" spans="1:19" ht="17" thickBot="1">
      <c r="A203" s="229" t="s">
        <v>302</v>
      </c>
      <c r="B203" s="228"/>
      <c r="C203" s="25">
        <v>7.5</v>
      </c>
      <c r="D203" s="25">
        <f>C203*0.1</f>
        <v>0.75</v>
      </c>
      <c r="E203" s="49"/>
      <c r="F203" s="23">
        <v>7</v>
      </c>
      <c r="G203" s="27">
        <f>C203+D203</f>
        <v>8.25</v>
      </c>
      <c r="H203" s="28">
        <f>O203/G203</f>
        <v>0.15151515151515152</v>
      </c>
      <c r="I203" s="45">
        <f>F203*E203</f>
        <v>0</v>
      </c>
      <c r="J203" s="45">
        <f>(G203-F203)*E203</f>
        <v>0</v>
      </c>
      <c r="K203" s="37">
        <f>C203*0.9</f>
        <v>6.75</v>
      </c>
      <c r="L203" s="25">
        <f>K203*0.02</f>
        <v>0.13500000000000001</v>
      </c>
      <c r="M203" s="25"/>
      <c r="N203" s="25">
        <f>K203+L203</f>
        <v>6.8849999999999998</v>
      </c>
      <c r="O203" s="25">
        <f>G203-F203</f>
        <v>1.25</v>
      </c>
      <c r="P203" s="25">
        <f>F203-N203</f>
        <v>0.11500000000000021</v>
      </c>
      <c r="Q203" s="29">
        <f>P203/N203</f>
        <v>1.6702977487291243E-2</v>
      </c>
      <c r="R203" s="30" t="s">
        <v>133</v>
      </c>
      <c r="S203" s="31" t="s">
        <v>303</v>
      </c>
    </row>
    <row r="204" spans="1:19" ht="17" thickBot="1">
      <c r="A204" s="266" t="s">
        <v>304</v>
      </c>
      <c r="B204" s="228"/>
      <c r="C204" s="82"/>
      <c r="D204" s="82"/>
      <c r="E204" s="38"/>
      <c r="F204" s="82"/>
      <c r="G204" s="50"/>
      <c r="H204" s="83"/>
      <c r="I204" s="69"/>
      <c r="J204" s="69"/>
      <c r="K204" s="69"/>
      <c r="L204" s="70"/>
      <c r="M204" s="70"/>
      <c r="N204" s="70"/>
      <c r="O204" s="70"/>
      <c r="P204" s="70"/>
      <c r="Q204" s="71"/>
      <c r="R204" s="73"/>
      <c r="S204" s="74"/>
    </row>
    <row r="205" spans="1:19" ht="17" thickBot="1">
      <c r="A205" s="273" t="s">
        <v>305</v>
      </c>
      <c r="B205" s="228"/>
      <c r="C205" s="25"/>
      <c r="D205" s="25"/>
      <c r="E205" s="38"/>
      <c r="F205" s="23"/>
      <c r="G205" s="27"/>
      <c r="H205" s="28"/>
      <c r="I205" s="37"/>
      <c r="J205" s="37"/>
      <c r="K205" s="37"/>
      <c r="L205" s="25"/>
      <c r="M205" s="25"/>
      <c r="N205" s="25"/>
      <c r="O205" s="25"/>
      <c r="P205" s="25"/>
      <c r="Q205" s="29"/>
      <c r="R205" s="30"/>
      <c r="S205" s="31"/>
    </row>
    <row r="206" spans="1:19" ht="17" thickBot="1">
      <c r="A206" s="263" t="s">
        <v>306</v>
      </c>
      <c r="B206" s="228"/>
      <c r="C206" s="32">
        <f>0.65*25</f>
        <v>16.25</v>
      </c>
      <c r="D206" s="32">
        <f>C206*0.1</f>
        <v>1.625</v>
      </c>
      <c r="E206" s="49"/>
      <c r="F206" s="23">
        <v>16</v>
      </c>
      <c r="G206" s="27">
        <f>C206+D206</f>
        <v>17.875</v>
      </c>
      <c r="H206" s="28">
        <f>O206/G206</f>
        <v>0.1048951048951049</v>
      </c>
      <c r="I206" s="44">
        <f>F206*E206</f>
        <v>0</v>
      </c>
      <c r="J206" s="44">
        <f>(G206-F206)*E206</f>
        <v>0</v>
      </c>
      <c r="K206" s="39">
        <f>C206*0.9</f>
        <v>14.625</v>
      </c>
      <c r="L206" s="32">
        <f>K206*0.02</f>
        <v>0.29249999999999998</v>
      </c>
      <c r="M206" s="32"/>
      <c r="N206" s="32">
        <f>K206+L206</f>
        <v>14.9175</v>
      </c>
      <c r="O206" s="32">
        <f>G206-F206</f>
        <v>1.875</v>
      </c>
      <c r="P206" s="32">
        <f>F206-N206</f>
        <v>1.0824999999999996</v>
      </c>
      <c r="Q206" s="33">
        <f>P206/N206</f>
        <v>7.2565778448131363E-2</v>
      </c>
      <c r="R206" s="34" t="s">
        <v>133</v>
      </c>
      <c r="S206" s="35" t="s">
        <v>307</v>
      </c>
    </row>
    <row r="207" spans="1:19" ht="17" thickBot="1">
      <c r="A207" s="262" t="s">
        <v>308</v>
      </c>
      <c r="B207" s="228"/>
      <c r="C207" s="25">
        <f>0.78*25</f>
        <v>19.5</v>
      </c>
      <c r="D207" s="25">
        <v>15</v>
      </c>
      <c r="E207" s="49"/>
      <c r="F207" s="23">
        <v>20</v>
      </c>
      <c r="G207" s="27">
        <f>C207+D207</f>
        <v>34.5</v>
      </c>
      <c r="H207" s="28">
        <f>O207/G207</f>
        <v>0.42028985507246375</v>
      </c>
      <c r="I207" s="45">
        <f>F207*E207</f>
        <v>0</v>
      </c>
      <c r="J207" s="45">
        <f>(G207-F207)*E207</f>
        <v>0</v>
      </c>
      <c r="K207" s="37">
        <f>C207*0.9</f>
        <v>17.55</v>
      </c>
      <c r="L207" s="25">
        <f>K207*0.02</f>
        <v>0.35100000000000003</v>
      </c>
      <c r="M207" s="25"/>
      <c r="N207" s="25">
        <f>K207+L207</f>
        <v>17.901</v>
      </c>
      <c r="O207" s="25">
        <f>G207-F207</f>
        <v>14.5</v>
      </c>
      <c r="P207" s="25">
        <f>F207-N207</f>
        <v>2.0990000000000002</v>
      </c>
      <c r="Q207" s="29">
        <f>P207/N207</f>
        <v>0.11725601921680354</v>
      </c>
      <c r="R207" s="30" t="s">
        <v>133</v>
      </c>
      <c r="S207" s="31" t="s">
        <v>309</v>
      </c>
    </row>
    <row r="208" spans="1:19" ht="17" thickBot="1">
      <c r="A208" s="263" t="s">
        <v>310</v>
      </c>
      <c r="B208" s="228"/>
      <c r="C208" s="32">
        <f>0.93*25</f>
        <v>23.25</v>
      </c>
      <c r="D208" s="32">
        <f>C208*0.1</f>
        <v>2.3250000000000002</v>
      </c>
      <c r="E208" s="49"/>
      <c r="F208" s="23">
        <v>23</v>
      </c>
      <c r="G208" s="27">
        <f>C208+D208</f>
        <v>25.574999999999999</v>
      </c>
      <c r="H208" s="28">
        <f>O208/G208</f>
        <v>0.10068426197458454</v>
      </c>
      <c r="I208" s="44">
        <f>F208*E208</f>
        <v>0</v>
      </c>
      <c r="J208" s="44">
        <f>(G208-F208)*E208</f>
        <v>0</v>
      </c>
      <c r="K208" s="39">
        <f>C208*0.9</f>
        <v>20.925000000000001</v>
      </c>
      <c r="L208" s="32">
        <f>K208*0.02</f>
        <v>0.41850000000000004</v>
      </c>
      <c r="M208" s="32"/>
      <c r="N208" s="32">
        <f>K208+L208</f>
        <v>21.343500000000002</v>
      </c>
      <c r="O208" s="32">
        <f>G208-F208</f>
        <v>2.5749999999999993</v>
      </c>
      <c r="P208" s="32">
        <f>F208-N208</f>
        <v>1.6564999999999976</v>
      </c>
      <c r="Q208" s="33">
        <f>P208/N208</f>
        <v>7.7611450792981346E-2</v>
      </c>
      <c r="R208" s="34" t="s">
        <v>133</v>
      </c>
      <c r="S208" s="35" t="s">
        <v>311</v>
      </c>
    </row>
    <row r="209" spans="1:19" ht="17" thickBot="1">
      <c r="A209" s="266" t="s">
        <v>312</v>
      </c>
      <c r="B209" s="228"/>
      <c r="C209" s="82"/>
      <c r="D209" s="82"/>
      <c r="E209" s="38"/>
      <c r="F209" s="82"/>
      <c r="G209" s="28"/>
      <c r="H209" s="28"/>
      <c r="I209" s="69"/>
      <c r="J209" s="69"/>
      <c r="K209" s="69"/>
      <c r="L209" s="70"/>
      <c r="M209" s="70"/>
      <c r="N209" s="70"/>
      <c r="O209" s="70"/>
      <c r="P209" s="70"/>
      <c r="Q209" s="71"/>
      <c r="R209" s="73"/>
      <c r="S209" s="74"/>
    </row>
    <row r="210" spans="1:19" ht="48" customHeight="1" thickBot="1">
      <c r="A210" s="271" t="s">
        <v>432</v>
      </c>
      <c r="B210" s="228"/>
      <c r="C210" s="32"/>
      <c r="D210" s="32"/>
      <c r="E210" s="38"/>
      <c r="F210" s="23"/>
      <c r="G210" s="27"/>
      <c r="H210" s="28"/>
      <c r="I210" s="39"/>
      <c r="J210" s="39"/>
      <c r="K210" s="39"/>
      <c r="L210" s="32"/>
      <c r="M210" s="32"/>
      <c r="N210" s="32"/>
      <c r="O210" s="32"/>
      <c r="P210" s="32"/>
      <c r="Q210" s="33"/>
      <c r="R210" s="34"/>
      <c r="S210" s="35"/>
    </row>
    <row r="211" spans="1:19" ht="17" thickBot="1">
      <c r="A211" s="229" t="s">
        <v>313</v>
      </c>
      <c r="B211" s="228"/>
      <c r="C211" s="25">
        <f>984*0.15</f>
        <v>147.6</v>
      </c>
      <c r="D211" s="25">
        <f>C211*0.1</f>
        <v>14.76</v>
      </c>
      <c r="E211" s="38"/>
      <c r="F211" s="23">
        <v>145</v>
      </c>
      <c r="G211" s="27">
        <f>C211+D211</f>
        <v>162.35999999999999</v>
      </c>
      <c r="H211" s="28">
        <f>O211/G211</f>
        <v>0.10692288741069221</v>
      </c>
      <c r="I211" s="45">
        <f>F211*E211</f>
        <v>0</v>
      </c>
      <c r="J211" s="45">
        <f>(G211-F211)*E211</f>
        <v>0</v>
      </c>
      <c r="K211" s="37">
        <f>C211*0.9</f>
        <v>132.84</v>
      </c>
      <c r="L211" s="25">
        <f>K211*0.02</f>
        <v>2.6568000000000001</v>
      </c>
      <c r="M211" s="25"/>
      <c r="N211" s="25">
        <f>K211+L211</f>
        <v>135.49680000000001</v>
      </c>
      <c r="O211" s="25">
        <f>G211-F211</f>
        <v>17.359999999999985</v>
      </c>
      <c r="P211" s="25">
        <f>F211-N211</f>
        <v>9.5031999999999925</v>
      </c>
      <c r="Q211" s="29">
        <f>P211/N211</f>
        <v>7.0135973690891529E-2</v>
      </c>
      <c r="R211" s="30" t="s">
        <v>133</v>
      </c>
      <c r="S211" s="31" t="s">
        <v>314</v>
      </c>
    </row>
    <row r="212" spans="1:19" ht="17" thickBot="1">
      <c r="A212" s="227" t="s">
        <v>315</v>
      </c>
      <c r="B212" s="228"/>
      <c r="C212" s="32">
        <f>420*0.26</f>
        <v>109.2</v>
      </c>
      <c r="D212" s="32">
        <f>C212*0.1</f>
        <v>10.920000000000002</v>
      </c>
      <c r="E212" s="38"/>
      <c r="F212" s="23">
        <v>108</v>
      </c>
      <c r="G212" s="27">
        <f>C212+D212</f>
        <v>120.12</v>
      </c>
      <c r="H212" s="28">
        <f>O212/G212</f>
        <v>0.10089910089910094</v>
      </c>
      <c r="I212" s="44">
        <f>F212*E212</f>
        <v>0</v>
      </c>
      <c r="J212" s="44">
        <f>(G212-F212)*E212</f>
        <v>0</v>
      </c>
      <c r="K212" s="39">
        <f>C212*0.9</f>
        <v>98.28</v>
      </c>
      <c r="L212" s="32">
        <f>K212*0.02</f>
        <v>1.9656</v>
      </c>
      <c r="M212" s="32"/>
      <c r="N212" s="32">
        <f>K212+L212</f>
        <v>100.2456</v>
      </c>
      <c r="O212" s="32">
        <f>G212-F212</f>
        <v>12.120000000000005</v>
      </c>
      <c r="P212" s="32">
        <f>F212-N212</f>
        <v>7.754400000000004</v>
      </c>
      <c r="Q212" s="33">
        <f>P212/N212</f>
        <v>7.7354018530489163E-2</v>
      </c>
      <c r="R212" s="34" t="s">
        <v>133</v>
      </c>
      <c r="S212" s="35" t="s">
        <v>316</v>
      </c>
    </row>
    <row r="213" spans="1:19" ht="51" customHeight="1" thickBot="1">
      <c r="A213" s="242" t="s">
        <v>433</v>
      </c>
      <c r="B213" s="228"/>
      <c r="C213" s="25"/>
      <c r="D213" s="25"/>
      <c r="E213" s="38"/>
      <c r="F213" s="23"/>
      <c r="G213" s="27"/>
      <c r="H213" s="28"/>
      <c r="I213" s="37"/>
      <c r="J213" s="37"/>
      <c r="K213" s="37"/>
      <c r="L213" s="25"/>
      <c r="M213" s="25"/>
      <c r="N213" s="25"/>
      <c r="O213" s="25"/>
      <c r="P213" s="25"/>
      <c r="Q213" s="29"/>
      <c r="R213" s="30"/>
      <c r="S213" s="31"/>
    </row>
    <row r="214" spans="1:19" ht="17" thickBot="1">
      <c r="A214" s="227" t="s">
        <v>317</v>
      </c>
      <c r="B214" s="228"/>
      <c r="C214" s="32">
        <f>550*0.23</f>
        <v>126.5</v>
      </c>
      <c r="D214" s="32">
        <f>C214*0.1</f>
        <v>12.65</v>
      </c>
      <c r="E214" s="38"/>
      <c r="F214" s="23">
        <v>125</v>
      </c>
      <c r="G214" s="27">
        <f>C214+D214</f>
        <v>139.15</v>
      </c>
      <c r="H214" s="28">
        <f>O214/G214</f>
        <v>0.10168882500898314</v>
      </c>
      <c r="I214" s="44">
        <f>F214*E214</f>
        <v>0</v>
      </c>
      <c r="J214" s="44">
        <f>(G214-F214)*E214</f>
        <v>0</v>
      </c>
      <c r="K214" s="39">
        <f>C214*0.9</f>
        <v>113.85000000000001</v>
      </c>
      <c r="L214" s="32">
        <f>K214*0.02</f>
        <v>2.2770000000000001</v>
      </c>
      <c r="M214" s="32"/>
      <c r="N214" s="32">
        <f>K214+L214</f>
        <v>116.12700000000001</v>
      </c>
      <c r="O214" s="32">
        <f>G214-F214</f>
        <v>14.150000000000006</v>
      </c>
      <c r="P214" s="32">
        <f>F214-N214</f>
        <v>8.8729999999999905</v>
      </c>
      <c r="Q214" s="33">
        <f>P214/N214</f>
        <v>7.6407726024094222E-2</v>
      </c>
      <c r="R214" s="34" t="s">
        <v>133</v>
      </c>
      <c r="S214" s="35" t="s">
        <v>318</v>
      </c>
    </row>
    <row r="215" spans="1:19" ht="17" thickBot="1">
      <c r="A215" s="229" t="s">
        <v>319</v>
      </c>
      <c r="B215" s="228"/>
      <c r="C215" s="25">
        <f>550*0.45</f>
        <v>247.5</v>
      </c>
      <c r="D215" s="25">
        <f>C215*0.1</f>
        <v>24.75</v>
      </c>
      <c r="E215" s="38"/>
      <c r="F215" s="23">
        <v>244</v>
      </c>
      <c r="G215" s="27">
        <f>C215+D215</f>
        <v>272.25</v>
      </c>
      <c r="H215" s="28">
        <f>O215/G215</f>
        <v>0.10376492194674013</v>
      </c>
      <c r="I215" s="45">
        <f>F215*E215</f>
        <v>0</v>
      </c>
      <c r="J215" s="45">
        <f>(G215-F215)*E215</f>
        <v>0</v>
      </c>
      <c r="K215" s="37">
        <f>C215*0.9</f>
        <v>222.75</v>
      </c>
      <c r="L215" s="25">
        <f>K215*0.02</f>
        <v>4.4550000000000001</v>
      </c>
      <c r="M215" s="25"/>
      <c r="N215" s="25">
        <f>K215+L215</f>
        <v>227.20500000000001</v>
      </c>
      <c r="O215" s="25">
        <f>G215-F215</f>
        <v>28.25</v>
      </c>
      <c r="P215" s="25">
        <f>F215-N215</f>
        <v>16.794999999999987</v>
      </c>
      <c r="Q215" s="29">
        <f>P215/N215</f>
        <v>7.3920028168394117E-2</v>
      </c>
      <c r="R215" s="30" t="s">
        <v>133</v>
      </c>
      <c r="S215" s="31" t="s">
        <v>320</v>
      </c>
    </row>
    <row r="216" spans="1:19" ht="33" customHeight="1" thickBot="1">
      <c r="A216" s="271" t="s">
        <v>434</v>
      </c>
      <c r="B216" s="228"/>
      <c r="C216" s="32"/>
      <c r="D216" s="32"/>
      <c r="E216" s="38"/>
      <c r="F216" s="23"/>
      <c r="G216" s="27"/>
      <c r="H216" s="28"/>
      <c r="I216" s="39"/>
      <c r="J216" s="39"/>
      <c r="K216" s="39"/>
      <c r="L216" s="32"/>
      <c r="M216" s="32"/>
      <c r="N216" s="32"/>
      <c r="O216" s="32"/>
      <c r="P216" s="32"/>
      <c r="Q216" s="33"/>
      <c r="R216" s="34"/>
      <c r="S216" s="35"/>
    </row>
    <row r="217" spans="1:19" ht="17" thickBot="1">
      <c r="A217" s="229" t="s">
        <v>321</v>
      </c>
      <c r="B217" s="228"/>
      <c r="C217" s="25">
        <v>58</v>
      </c>
      <c r="D217" s="25">
        <f t="shared" ref="D217:D222" si="111">C217*0.1</f>
        <v>5.8000000000000007</v>
      </c>
      <c r="E217" s="38"/>
      <c r="F217" s="23">
        <v>57</v>
      </c>
      <c r="G217" s="27">
        <f t="shared" ref="G217:G222" si="112">C217+D217</f>
        <v>63.8</v>
      </c>
      <c r="H217" s="28">
        <f t="shared" ref="H217:H222" si="113">O217/G217</f>
        <v>0.10658307210031344</v>
      </c>
      <c r="I217" s="45">
        <f t="shared" ref="I217:I222" si="114">F217*E217</f>
        <v>0</v>
      </c>
      <c r="J217" s="45">
        <f t="shared" ref="J217:J222" si="115">(G217-F217)*E217</f>
        <v>0</v>
      </c>
      <c r="K217" s="37">
        <f t="shared" ref="K217:K222" si="116">C217*0.9</f>
        <v>52.2</v>
      </c>
      <c r="L217" s="25">
        <f t="shared" ref="L217:L222" si="117">K217*0.02</f>
        <v>1.044</v>
      </c>
      <c r="M217" s="25"/>
      <c r="N217" s="25">
        <f t="shared" ref="N217:N222" si="118">K217+L217</f>
        <v>53.244</v>
      </c>
      <c r="O217" s="25">
        <f t="shared" ref="O217:O222" si="119">G217-F217</f>
        <v>6.7999999999999972</v>
      </c>
      <c r="P217" s="25">
        <f t="shared" ref="P217:P222" si="120">F217-N217</f>
        <v>3.7560000000000002</v>
      </c>
      <c r="Q217" s="29">
        <f t="shared" ref="Q217:Q222" si="121">P217/N217</f>
        <v>7.0543159792652702E-2</v>
      </c>
      <c r="R217" s="30" t="s">
        <v>133</v>
      </c>
      <c r="S217" s="31" t="s">
        <v>322</v>
      </c>
    </row>
    <row r="218" spans="1:19" ht="17" thickBot="1">
      <c r="A218" s="227" t="s">
        <v>323</v>
      </c>
      <c r="B218" s="228"/>
      <c r="C218" s="32">
        <v>66</v>
      </c>
      <c r="D218" s="32">
        <f t="shared" si="111"/>
        <v>6.6000000000000005</v>
      </c>
      <c r="E218" s="38"/>
      <c r="F218" s="23">
        <v>65</v>
      </c>
      <c r="G218" s="27">
        <f t="shared" si="112"/>
        <v>72.599999999999994</v>
      </c>
      <c r="H218" s="28">
        <f t="shared" si="113"/>
        <v>0.10468319559228643</v>
      </c>
      <c r="I218" s="44">
        <f t="shared" si="114"/>
        <v>0</v>
      </c>
      <c r="J218" s="44">
        <f t="shared" si="115"/>
        <v>0</v>
      </c>
      <c r="K218" s="39">
        <f t="shared" si="116"/>
        <v>59.4</v>
      </c>
      <c r="L218" s="32">
        <f t="shared" si="117"/>
        <v>1.1879999999999999</v>
      </c>
      <c r="M218" s="32"/>
      <c r="N218" s="32">
        <f t="shared" si="118"/>
        <v>60.588000000000001</v>
      </c>
      <c r="O218" s="32">
        <f t="shared" si="119"/>
        <v>7.5999999999999943</v>
      </c>
      <c r="P218" s="32">
        <f t="shared" si="120"/>
        <v>4.411999999999999</v>
      </c>
      <c r="Q218" s="33">
        <f t="shared" si="121"/>
        <v>7.2819700270680646E-2</v>
      </c>
      <c r="R218" s="34" t="s">
        <v>133</v>
      </c>
      <c r="S218" s="35" t="s">
        <v>324</v>
      </c>
    </row>
    <row r="219" spans="1:19" ht="17" thickBot="1">
      <c r="A219" s="229" t="s">
        <v>325</v>
      </c>
      <c r="B219" s="228"/>
      <c r="C219" s="25">
        <v>78</v>
      </c>
      <c r="D219" s="25">
        <f t="shared" si="111"/>
        <v>7.8000000000000007</v>
      </c>
      <c r="E219" s="38"/>
      <c r="F219" s="23">
        <v>76</v>
      </c>
      <c r="G219" s="27">
        <f t="shared" si="112"/>
        <v>85.8</v>
      </c>
      <c r="H219" s="28">
        <f t="shared" si="113"/>
        <v>0.1142191142191142</v>
      </c>
      <c r="I219" s="45">
        <f t="shared" si="114"/>
        <v>0</v>
      </c>
      <c r="J219" s="45">
        <f t="shared" si="115"/>
        <v>0</v>
      </c>
      <c r="K219" s="37">
        <f t="shared" si="116"/>
        <v>70.2</v>
      </c>
      <c r="L219" s="25">
        <f t="shared" si="117"/>
        <v>1.4040000000000001</v>
      </c>
      <c r="M219" s="25"/>
      <c r="N219" s="25">
        <f t="shared" si="118"/>
        <v>71.603999999999999</v>
      </c>
      <c r="O219" s="25">
        <f t="shared" si="119"/>
        <v>9.7999999999999972</v>
      </c>
      <c r="P219" s="25">
        <f t="shared" si="120"/>
        <v>4.3960000000000008</v>
      </c>
      <c r="Q219" s="29">
        <f t="shared" si="121"/>
        <v>6.1393218255963368E-2</v>
      </c>
      <c r="R219" s="30" t="s">
        <v>133</v>
      </c>
      <c r="S219" s="31" t="s">
        <v>326</v>
      </c>
    </row>
    <row r="220" spans="1:19" ht="17" thickBot="1">
      <c r="A220" s="227" t="s">
        <v>327</v>
      </c>
      <c r="B220" s="228"/>
      <c r="C220" s="32">
        <v>295</v>
      </c>
      <c r="D220" s="32">
        <f t="shared" si="111"/>
        <v>29.5</v>
      </c>
      <c r="E220" s="38"/>
      <c r="F220" s="23">
        <v>287</v>
      </c>
      <c r="G220" s="27">
        <f t="shared" si="112"/>
        <v>324.5</v>
      </c>
      <c r="H220" s="28">
        <f t="shared" si="113"/>
        <v>0.11556240369799692</v>
      </c>
      <c r="I220" s="44">
        <f t="shared" si="114"/>
        <v>0</v>
      </c>
      <c r="J220" s="44">
        <f t="shared" si="115"/>
        <v>0</v>
      </c>
      <c r="K220" s="39">
        <f t="shared" si="116"/>
        <v>265.5</v>
      </c>
      <c r="L220" s="32">
        <f t="shared" si="117"/>
        <v>5.3100000000000005</v>
      </c>
      <c r="M220" s="32"/>
      <c r="N220" s="32">
        <f t="shared" si="118"/>
        <v>270.81</v>
      </c>
      <c r="O220" s="32">
        <f t="shared" si="119"/>
        <v>37.5</v>
      </c>
      <c r="P220" s="32">
        <f t="shared" si="120"/>
        <v>16.189999999999998</v>
      </c>
      <c r="Q220" s="33">
        <f t="shared" si="121"/>
        <v>5.9783612126583202E-2</v>
      </c>
      <c r="R220" s="34" t="s">
        <v>133</v>
      </c>
      <c r="S220" s="35" t="s">
        <v>328</v>
      </c>
    </row>
    <row r="221" spans="1:19" ht="17" thickBot="1">
      <c r="A221" s="229" t="s">
        <v>329</v>
      </c>
      <c r="B221" s="228"/>
      <c r="C221" s="25">
        <v>365</v>
      </c>
      <c r="D221" s="25">
        <f t="shared" si="111"/>
        <v>36.5</v>
      </c>
      <c r="E221" s="38"/>
      <c r="F221" s="23">
        <v>355</v>
      </c>
      <c r="G221" s="27">
        <f t="shared" si="112"/>
        <v>401.5</v>
      </c>
      <c r="H221" s="28">
        <f t="shared" si="113"/>
        <v>0.11581569115815692</v>
      </c>
      <c r="I221" s="45">
        <f t="shared" si="114"/>
        <v>0</v>
      </c>
      <c r="J221" s="45">
        <f t="shared" si="115"/>
        <v>0</v>
      </c>
      <c r="K221" s="37">
        <f t="shared" si="116"/>
        <v>328.5</v>
      </c>
      <c r="L221" s="25">
        <f t="shared" si="117"/>
        <v>6.57</v>
      </c>
      <c r="M221" s="25"/>
      <c r="N221" s="25">
        <f t="shared" si="118"/>
        <v>335.07</v>
      </c>
      <c r="O221" s="25">
        <f t="shared" si="119"/>
        <v>46.5</v>
      </c>
      <c r="P221" s="25">
        <f t="shared" si="120"/>
        <v>19.930000000000007</v>
      </c>
      <c r="Q221" s="29">
        <f t="shared" si="121"/>
        <v>5.9480108634016794E-2</v>
      </c>
      <c r="R221" s="30" t="s">
        <v>133</v>
      </c>
      <c r="S221" s="31" t="s">
        <v>330</v>
      </c>
    </row>
    <row r="222" spans="1:19" ht="17" thickBot="1">
      <c r="A222" s="227" t="s">
        <v>331</v>
      </c>
      <c r="B222" s="228"/>
      <c r="C222" s="32">
        <v>470</v>
      </c>
      <c r="D222" s="32">
        <f t="shared" si="111"/>
        <v>47</v>
      </c>
      <c r="E222" s="38"/>
      <c r="F222" s="23">
        <v>456</v>
      </c>
      <c r="G222" s="27">
        <f t="shared" si="112"/>
        <v>517</v>
      </c>
      <c r="H222" s="28">
        <f t="shared" si="113"/>
        <v>0.11798839458413926</v>
      </c>
      <c r="I222" s="44">
        <f t="shared" si="114"/>
        <v>0</v>
      </c>
      <c r="J222" s="44">
        <f t="shared" si="115"/>
        <v>0</v>
      </c>
      <c r="K222" s="39">
        <f t="shared" si="116"/>
        <v>423</v>
      </c>
      <c r="L222" s="32">
        <f t="shared" si="117"/>
        <v>8.4600000000000009</v>
      </c>
      <c r="M222" s="32"/>
      <c r="N222" s="32">
        <f t="shared" si="118"/>
        <v>431.46</v>
      </c>
      <c r="O222" s="32">
        <f t="shared" si="119"/>
        <v>61</v>
      </c>
      <c r="P222" s="32">
        <f t="shared" si="120"/>
        <v>24.54000000000002</v>
      </c>
      <c r="Q222" s="33">
        <f t="shared" si="121"/>
        <v>5.6876651369767814E-2</v>
      </c>
      <c r="R222" s="34" t="s">
        <v>133</v>
      </c>
      <c r="S222" s="35" t="s">
        <v>332</v>
      </c>
    </row>
    <row r="223" spans="1:19" ht="17" thickBot="1">
      <c r="A223" s="238" t="s">
        <v>333</v>
      </c>
      <c r="B223" s="232"/>
      <c r="C223" s="46"/>
      <c r="D223" s="46"/>
      <c r="E223" s="22"/>
      <c r="F223" s="23"/>
      <c r="G223" s="24"/>
      <c r="H223" s="28"/>
      <c r="I223" s="230"/>
      <c r="J223" s="231"/>
      <c r="K223" s="155"/>
      <c r="L223" s="154"/>
      <c r="M223" s="46"/>
      <c r="N223" s="46"/>
      <c r="O223" s="46"/>
      <c r="P223" s="46"/>
      <c r="Q223" s="47"/>
      <c r="R223" s="46"/>
      <c r="S223" s="48"/>
    </row>
    <row r="224" spans="1:19" ht="17" customHeight="1" thickBot="1">
      <c r="A224" s="242" t="s">
        <v>447</v>
      </c>
      <c r="B224" s="228"/>
      <c r="C224" s="25">
        <v>27.5</v>
      </c>
      <c r="D224" s="25">
        <f>C224*0.1</f>
        <v>2.75</v>
      </c>
      <c r="E224" s="26"/>
      <c r="F224" s="23">
        <v>29</v>
      </c>
      <c r="G224" s="27">
        <f t="shared" ref="G224:G232" si="122">C224+D224</f>
        <v>30.25</v>
      </c>
      <c r="H224" s="28">
        <f t="shared" ref="H224:H232" si="123">O224/G224</f>
        <v>4.1322314049586778E-2</v>
      </c>
      <c r="I224" s="45">
        <f t="shared" ref="I224:I232" si="124">F224*E224</f>
        <v>0</v>
      </c>
      <c r="J224" s="45">
        <f t="shared" ref="J224:J232" si="125">(G224-F224)*E224</f>
        <v>0</v>
      </c>
      <c r="K224" s="25">
        <v>26.75</v>
      </c>
      <c r="L224" s="25">
        <f>K224*0.05</f>
        <v>1.3375000000000001</v>
      </c>
      <c r="M224" s="25">
        <f>(G224-N224)/G224</f>
        <v>7.1487603305785172E-2</v>
      </c>
      <c r="N224" s="25">
        <f t="shared" ref="N224:N232" si="126">K224+L224</f>
        <v>28.087499999999999</v>
      </c>
      <c r="O224" s="25">
        <f t="shared" ref="O224:O232" si="127">G224-F224</f>
        <v>1.25</v>
      </c>
      <c r="P224" s="25">
        <f t="shared" ref="P224:P232" si="128">F224-N224</f>
        <v>0.91250000000000142</v>
      </c>
      <c r="Q224" s="29">
        <f t="shared" ref="Q224:Q232" si="129">P224/N224</f>
        <v>3.2487761459724131E-2</v>
      </c>
      <c r="R224" s="30" t="s">
        <v>68</v>
      </c>
      <c r="S224" s="31">
        <v>4838</v>
      </c>
    </row>
    <row r="225" spans="1:19" ht="98" customHeight="1" thickBot="1">
      <c r="A225" s="271" t="s">
        <v>435</v>
      </c>
      <c r="B225" s="228"/>
      <c r="C225" s="32">
        <v>482</v>
      </c>
      <c r="D225" s="32">
        <f>C225*0.1</f>
        <v>48.2</v>
      </c>
      <c r="E225" s="26"/>
      <c r="F225" s="23">
        <v>522</v>
      </c>
      <c r="G225" s="27">
        <f t="shared" si="122"/>
        <v>530.20000000000005</v>
      </c>
      <c r="H225" s="28">
        <f t="shared" si="123"/>
        <v>1.5465861938891068E-2</v>
      </c>
      <c r="I225" s="44">
        <f t="shared" si="124"/>
        <v>0</v>
      </c>
      <c r="J225" s="44">
        <f t="shared" si="125"/>
        <v>0</v>
      </c>
      <c r="K225" s="32">
        <v>482</v>
      </c>
      <c r="L225" s="32">
        <f>K225*0.05</f>
        <v>24.1</v>
      </c>
      <c r="M225" s="32">
        <f>(G225-N225)/G225</f>
        <v>4.5454545454545491E-2</v>
      </c>
      <c r="N225" s="32">
        <f t="shared" si="126"/>
        <v>506.1</v>
      </c>
      <c r="O225" s="32">
        <f t="shared" si="127"/>
        <v>8.2000000000000455</v>
      </c>
      <c r="P225" s="32">
        <f t="shared" si="128"/>
        <v>15.899999999999977</v>
      </c>
      <c r="Q225" s="33">
        <f t="shared" si="129"/>
        <v>3.1416716064018919E-2</v>
      </c>
      <c r="R225" s="34" t="s">
        <v>68</v>
      </c>
      <c r="S225" s="35">
        <v>2447</v>
      </c>
    </row>
    <row r="226" spans="1:19" ht="49" customHeight="1" thickBot="1">
      <c r="A226" s="273" t="s">
        <v>436</v>
      </c>
      <c r="B226" s="228"/>
      <c r="C226" s="25">
        <v>113</v>
      </c>
      <c r="D226" s="25">
        <f>C226*0.1</f>
        <v>11.3</v>
      </c>
      <c r="E226" s="38"/>
      <c r="F226" s="23">
        <v>111</v>
      </c>
      <c r="G226" s="27">
        <f t="shared" si="122"/>
        <v>124.3</v>
      </c>
      <c r="H226" s="28">
        <f t="shared" si="123"/>
        <v>0.1069991954947707</v>
      </c>
      <c r="I226" s="45">
        <f t="shared" si="124"/>
        <v>0</v>
      </c>
      <c r="J226" s="45">
        <f t="shared" si="125"/>
        <v>0</v>
      </c>
      <c r="K226" s="37">
        <f>C226*0.9</f>
        <v>101.7</v>
      </c>
      <c r="L226" s="25">
        <f>K226*0.02</f>
        <v>2.0340000000000003</v>
      </c>
      <c r="M226" s="25"/>
      <c r="N226" s="25">
        <f t="shared" si="126"/>
        <v>103.73400000000001</v>
      </c>
      <c r="O226" s="25">
        <f t="shared" si="127"/>
        <v>13.299999999999997</v>
      </c>
      <c r="P226" s="25">
        <f t="shared" si="128"/>
        <v>7.2659999999999911</v>
      </c>
      <c r="Q226" s="29">
        <f t="shared" si="129"/>
        <v>7.0044536988836739E-2</v>
      </c>
      <c r="R226" s="30" t="s">
        <v>133</v>
      </c>
      <c r="S226" s="31" t="s">
        <v>334</v>
      </c>
    </row>
    <row r="227" spans="1:19" ht="49" customHeight="1" thickBot="1">
      <c r="A227" s="271" t="s">
        <v>437</v>
      </c>
      <c r="B227" s="228"/>
      <c r="C227" s="32">
        <v>56</v>
      </c>
      <c r="D227" s="32">
        <v>22</v>
      </c>
      <c r="E227" s="26"/>
      <c r="F227" s="23">
        <v>38</v>
      </c>
      <c r="G227" s="27">
        <f t="shared" si="122"/>
        <v>78</v>
      </c>
      <c r="H227" s="28">
        <f t="shared" si="123"/>
        <v>0.51282051282051277</v>
      </c>
      <c r="I227" s="44">
        <f t="shared" si="124"/>
        <v>0</v>
      </c>
      <c r="J227" s="44">
        <f t="shared" si="125"/>
        <v>0</v>
      </c>
      <c r="K227" s="32">
        <v>34.5</v>
      </c>
      <c r="L227" s="32">
        <f>K227*0.05</f>
        <v>1.7250000000000001</v>
      </c>
      <c r="M227" s="32">
        <f t="shared" ref="M227:M232" si="130">(G227-N227)/G227</f>
        <v>0.53557692307692306</v>
      </c>
      <c r="N227" s="32">
        <f t="shared" si="126"/>
        <v>36.225000000000001</v>
      </c>
      <c r="O227" s="32">
        <f t="shared" si="127"/>
        <v>40</v>
      </c>
      <c r="P227" s="32">
        <f t="shared" si="128"/>
        <v>1.7749999999999986</v>
      </c>
      <c r="Q227" s="33">
        <f t="shared" si="129"/>
        <v>4.8999309868875046E-2</v>
      </c>
      <c r="R227" s="34" t="s">
        <v>68</v>
      </c>
      <c r="S227" s="35">
        <v>2450</v>
      </c>
    </row>
    <row r="228" spans="1:19" ht="46" customHeight="1" thickBot="1">
      <c r="A228" s="242" t="s">
        <v>438</v>
      </c>
      <c r="B228" s="228"/>
      <c r="C228" s="25">
        <v>145.68</v>
      </c>
      <c r="D228" s="25">
        <v>4</v>
      </c>
      <c r="E228" s="26"/>
      <c r="F228" s="23">
        <v>150</v>
      </c>
      <c r="G228" s="27">
        <f t="shared" si="122"/>
        <v>149.68</v>
      </c>
      <c r="H228" s="28">
        <f t="shared" si="123"/>
        <v>-2.1378941742383295E-3</v>
      </c>
      <c r="I228" s="45">
        <f t="shared" si="124"/>
        <v>0</v>
      </c>
      <c r="J228" s="45">
        <f t="shared" si="125"/>
        <v>0</v>
      </c>
      <c r="K228" s="25">
        <f>C228*0.95</f>
        <v>138.39599999999999</v>
      </c>
      <c r="L228" s="25">
        <f>K228*0.05</f>
        <v>6.9197999999999995</v>
      </c>
      <c r="M228" s="25">
        <f t="shared" si="130"/>
        <v>2.9156867985034814E-2</v>
      </c>
      <c r="N228" s="25">
        <f t="shared" si="126"/>
        <v>145.3158</v>
      </c>
      <c r="O228" s="25">
        <f t="shared" si="127"/>
        <v>-0.31999999999999318</v>
      </c>
      <c r="P228" s="25">
        <f t="shared" si="128"/>
        <v>4.6842000000000041</v>
      </c>
      <c r="Q228" s="29">
        <f t="shared" si="129"/>
        <v>3.2234622800824168E-2</v>
      </c>
      <c r="R228" s="30" t="s">
        <v>68</v>
      </c>
      <c r="S228" s="31">
        <v>12187</v>
      </c>
    </row>
    <row r="229" spans="1:19" ht="17" thickBot="1">
      <c r="A229" s="84" t="s">
        <v>335</v>
      </c>
      <c r="B229" s="85"/>
      <c r="C229" s="32">
        <v>144</v>
      </c>
      <c r="D229" s="32">
        <v>13</v>
      </c>
      <c r="E229" s="26"/>
      <c r="F229" s="23">
        <v>151</v>
      </c>
      <c r="G229" s="27">
        <f t="shared" si="122"/>
        <v>157</v>
      </c>
      <c r="H229" s="28">
        <f t="shared" si="123"/>
        <v>3.8216560509554139E-2</v>
      </c>
      <c r="I229" s="44">
        <f t="shared" si="124"/>
        <v>0</v>
      </c>
      <c r="J229" s="44">
        <f t="shared" si="125"/>
        <v>0</v>
      </c>
      <c r="K229" s="32">
        <v>139</v>
      </c>
      <c r="L229" s="32">
        <f>K229*0.05</f>
        <v>6.95</v>
      </c>
      <c r="M229" s="32">
        <f t="shared" si="130"/>
        <v>7.0382165605095609E-2</v>
      </c>
      <c r="N229" s="32">
        <f t="shared" si="126"/>
        <v>145.94999999999999</v>
      </c>
      <c r="O229" s="32">
        <f t="shared" si="127"/>
        <v>6</v>
      </c>
      <c r="P229" s="32">
        <f t="shared" si="128"/>
        <v>5.0500000000000114</v>
      </c>
      <c r="Q229" s="33">
        <f t="shared" si="129"/>
        <v>3.4600890715998707E-2</v>
      </c>
      <c r="R229" s="34" t="s">
        <v>68</v>
      </c>
      <c r="S229" s="35">
        <v>11725</v>
      </c>
    </row>
    <row r="230" spans="1:19" ht="17" thickBot="1">
      <c r="A230" s="50" t="s">
        <v>336</v>
      </c>
      <c r="B230" s="51"/>
      <c r="C230" s="25">
        <v>530</v>
      </c>
      <c r="D230" s="25">
        <f>C230*0.02</f>
        <v>10.6</v>
      </c>
      <c r="E230" s="26"/>
      <c r="F230" s="23">
        <v>513</v>
      </c>
      <c r="G230" s="27">
        <f t="shared" si="122"/>
        <v>540.6</v>
      </c>
      <c r="H230" s="28">
        <f t="shared" si="123"/>
        <v>5.1054384017758088E-2</v>
      </c>
      <c r="I230" s="45">
        <f t="shared" si="124"/>
        <v>0</v>
      </c>
      <c r="J230" s="45">
        <f t="shared" si="125"/>
        <v>0</v>
      </c>
      <c r="K230" s="25">
        <v>498</v>
      </c>
      <c r="L230" s="25"/>
      <c r="M230" s="25">
        <f t="shared" si="130"/>
        <v>7.8801331853496151E-2</v>
      </c>
      <c r="N230" s="25">
        <f t="shared" si="126"/>
        <v>498</v>
      </c>
      <c r="O230" s="25">
        <f t="shared" si="127"/>
        <v>27.600000000000023</v>
      </c>
      <c r="P230" s="25">
        <f t="shared" si="128"/>
        <v>15</v>
      </c>
      <c r="Q230" s="29">
        <f t="shared" si="129"/>
        <v>3.0120481927710843E-2</v>
      </c>
      <c r="R230" s="30" t="s">
        <v>68</v>
      </c>
      <c r="S230" s="31">
        <v>2387</v>
      </c>
    </row>
    <row r="231" spans="1:19" ht="17" thickBot="1">
      <c r="A231" s="84" t="s">
        <v>337</v>
      </c>
      <c r="B231" s="85"/>
      <c r="C231" s="32">
        <v>73.7</v>
      </c>
      <c r="D231" s="32">
        <v>8</v>
      </c>
      <c r="E231" s="26"/>
      <c r="F231" s="23">
        <v>77</v>
      </c>
      <c r="G231" s="27">
        <f t="shared" si="122"/>
        <v>81.7</v>
      </c>
      <c r="H231" s="28">
        <f t="shared" si="123"/>
        <v>5.7527539779681794E-2</v>
      </c>
      <c r="I231" s="44">
        <f t="shared" si="124"/>
        <v>0</v>
      </c>
      <c r="J231" s="44">
        <f t="shared" si="125"/>
        <v>0</v>
      </c>
      <c r="K231" s="32">
        <v>71</v>
      </c>
      <c r="L231" s="32">
        <f>K231*0.05</f>
        <v>3.5500000000000003</v>
      </c>
      <c r="M231" s="32">
        <f t="shared" si="130"/>
        <v>8.7515299877601052E-2</v>
      </c>
      <c r="N231" s="32">
        <f t="shared" si="126"/>
        <v>74.55</v>
      </c>
      <c r="O231" s="32">
        <f t="shared" si="127"/>
        <v>4.7000000000000028</v>
      </c>
      <c r="P231" s="32">
        <f t="shared" si="128"/>
        <v>2.4500000000000028</v>
      </c>
      <c r="Q231" s="33">
        <f t="shared" si="129"/>
        <v>3.2863849765258253E-2</v>
      </c>
      <c r="R231" s="34" t="s">
        <v>68</v>
      </c>
      <c r="S231" s="35">
        <v>4116</v>
      </c>
    </row>
    <row r="232" spans="1:19" ht="17" thickBot="1">
      <c r="A232" s="50" t="s">
        <v>338</v>
      </c>
      <c r="B232" s="51"/>
      <c r="C232" s="25">
        <v>183</v>
      </c>
      <c r="D232" s="25">
        <v>10</v>
      </c>
      <c r="E232" s="26"/>
      <c r="F232" s="23">
        <v>186</v>
      </c>
      <c r="G232" s="27">
        <f t="shared" si="122"/>
        <v>193</v>
      </c>
      <c r="H232" s="28">
        <f t="shared" si="123"/>
        <v>3.6269430051813469E-2</v>
      </c>
      <c r="I232" s="45">
        <f t="shared" si="124"/>
        <v>0</v>
      </c>
      <c r="J232" s="45">
        <f t="shared" si="125"/>
        <v>0</v>
      </c>
      <c r="K232" s="25">
        <v>180</v>
      </c>
      <c r="L232" s="25"/>
      <c r="M232" s="25">
        <f t="shared" si="130"/>
        <v>6.7357512953367879E-2</v>
      </c>
      <c r="N232" s="25">
        <f t="shared" si="126"/>
        <v>180</v>
      </c>
      <c r="O232" s="25">
        <f t="shared" si="127"/>
        <v>7</v>
      </c>
      <c r="P232" s="25">
        <f t="shared" si="128"/>
        <v>6</v>
      </c>
      <c r="Q232" s="29">
        <f t="shared" si="129"/>
        <v>3.3333333333333333E-2</v>
      </c>
      <c r="R232" s="30" t="s">
        <v>68</v>
      </c>
      <c r="S232" s="31">
        <v>2446</v>
      </c>
    </row>
    <row r="233" spans="1:19" ht="67" customHeight="1" thickBot="1">
      <c r="A233" s="271" t="s">
        <v>439</v>
      </c>
      <c r="B233" s="228"/>
      <c r="C233" s="32"/>
      <c r="D233" s="32"/>
      <c r="E233" s="26"/>
      <c r="F233" s="23"/>
      <c r="G233" s="27"/>
      <c r="H233" s="28"/>
      <c r="I233" s="44"/>
      <c r="J233" s="44"/>
      <c r="K233" s="32"/>
      <c r="L233" s="32"/>
      <c r="M233" s="32"/>
      <c r="N233" s="32"/>
      <c r="O233" s="32"/>
      <c r="P233" s="32"/>
      <c r="Q233" s="33"/>
      <c r="R233" s="34"/>
      <c r="S233" s="35"/>
    </row>
    <row r="234" spans="1:19" ht="17" thickBot="1">
      <c r="A234" s="241" t="s">
        <v>339</v>
      </c>
      <c r="B234" s="228"/>
      <c r="C234" s="25">
        <v>18.95</v>
      </c>
      <c r="D234" s="25">
        <v>6</v>
      </c>
      <c r="E234" s="26"/>
      <c r="F234" s="23">
        <v>18</v>
      </c>
      <c r="G234" s="27">
        <f>C234+D234</f>
        <v>24.95</v>
      </c>
      <c r="H234" s="28">
        <f>O234/G234</f>
        <v>0.27855711422845691</v>
      </c>
      <c r="I234" s="45">
        <f>F234*E234</f>
        <v>0</v>
      </c>
      <c r="J234" s="45">
        <f>(G234-F234)*E234</f>
        <v>0</v>
      </c>
      <c r="K234" s="25">
        <v>15.95</v>
      </c>
      <c r="L234" s="25">
        <f>K234*0.05</f>
        <v>0.79749999999999999</v>
      </c>
      <c r="M234" s="25">
        <f>(G234-N234)/G234</f>
        <v>0.32875751503006018</v>
      </c>
      <c r="N234" s="25">
        <f>K234+L234</f>
        <v>16.747499999999999</v>
      </c>
      <c r="O234" s="25">
        <f>G234-F234</f>
        <v>6.9499999999999993</v>
      </c>
      <c r="P234" s="25">
        <f>F234-N234</f>
        <v>1.2525000000000013</v>
      </c>
      <c r="Q234" s="29">
        <f>P234/N234</f>
        <v>7.4787281683833487E-2</v>
      </c>
      <c r="R234" s="30" t="s">
        <v>68</v>
      </c>
      <c r="S234" s="31">
        <v>2487</v>
      </c>
    </row>
    <row r="235" spans="1:19" ht="17" customHeight="1" thickBot="1">
      <c r="A235" s="84" t="s">
        <v>340</v>
      </c>
      <c r="B235" s="86"/>
      <c r="C235" s="32">
        <v>78</v>
      </c>
      <c r="D235" s="32">
        <v>1</v>
      </c>
      <c r="E235" s="26"/>
      <c r="F235" s="23">
        <v>69</v>
      </c>
      <c r="G235" s="27">
        <f>C235+D235</f>
        <v>79</v>
      </c>
      <c r="H235" s="28">
        <f>O235/G235</f>
        <v>0.12658227848101267</v>
      </c>
      <c r="I235" s="44">
        <f>F235*E235</f>
        <v>0</v>
      </c>
      <c r="J235" s="44">
        <f>(G235-F235)*E235</f>
        <v>0</v>
      </c>
      <c r="K235" s="32">
        <v>62.95</v>
      </c>
      <c r="L235" s="32">
        <f>K235*0.05</f>
        <v>3.1475000000000004</v>
      </c>
      <c r="M235" s="32">
        <f>(G235-N235)/G235</f>
        <v>0.16332278481012663</v>
      </c>
      <c r="N235" s="32">
        <f>K235+L235</f>
        <v>66.097499999999997</v>
      </c>
      <c r="O235" s="32">
        <f>G235-F235</f>
        <v>10</v>
      </c>
      <c r="P235" s="32">
        <f>F235-N235</f>
        <v>2.9025000000000034</v>
      </c>
      <c r="Q235" s="33">
        <f>P235/N235</f>
        <v>4.3912402133212354E-2</v>
      </c>
      <c r="R235" s="34" t="s">
        <v>68</v>
      </c>
      <c r="S235" s="35">
        <v>4982</v>
      </c>
    </row>
    <row r="236" spans="1:19" ht="16" hidden="1" thickBot="1">
      <c r="A236" s="87"/>
      <c r="B236" s="87"/>
      <c r="C236" s="87"/>
      <c r="D236" s="87"/>
      <c r="E236" s="22"/>
      <c r="F236" s="88"/>
      <c r="G236" s="87"/>
      <c r="H236" s="89"/>
      <c r="I236" s="90"/>
      <c r="J236" s="90"/>
      <c r="K236" s="87"/>
      <c r="L236" s="87"/>
      <c r="M236" s="87"/>
      <c r="N236" s="87"/>
      <c r="O236" s="87"/>
      <c r="P236" s="87"/>
      <c r="Q236" s="87"/>
      <c r="R236" s="87"/>
      <c r="S236" s="87"/>
    </row>
    <row r="237" spans="1:19" ht="1.5" customHeight="1" thickBot="1">
      <c r="A237" s="90"/>
      <c r="B237" s="90"/>
      <c r="C237" s="90"/>
      <c r="D237" s="90"/>
      <c r="E237" s="22"/>
      <c r="F237" s="78"/>
      <c r="G237" s="90"/>
      <c r="H237" s="91"/>
      <c r="I237" s="90"/>
      <c r="J237" s="90"/>
      <c r="K237" s="90"/>
      <c r="L237" s="90"/>
      <c r="M237" s="90"/>
      <c r="N237" s="90"/>
      <c r="O237" s="90"/>
      <c r="P237" s="90"/>
      <c r="Q237" s="90"/>
      <c r="R237" s="90"/>
      <c r="S237" s="90"/>
    </row>
    <row r="238" spans="1:19" ht="93" customHeight="1" thickBot="1">
      <c r="A238" s="274"/>
      <c r="B238" s="253"/>
      <c r="C238" s="253"/>
      <c r="D238" s="253"/>
      <c r="E238" s="253"/>
      <c r="F238" s="253"/>
      <c r="G238" s="253"/>
      <c r="H238" s="253"/>
      <c r="I238" s="253"/>
      <c r="J238" s="253"/>
      <c r="K238" s="253"/>
      <c r="L238" s="253"/>
      <c r="M238" s="253"/>
      <c r="N238" s="253"/>
      <c r="O238" s="253"/>
      <c r="P238" s="253"/>
      <c r="Q238" s="253"/>
      <c r="R238" s="253"/>
      <c r="S238" s="253"/>
    </row>
    <row r="239" spans="1:19" ht="17" thickBot="1">
      <c r="A239" s="275" t="s">
        <v>341</v>
      </c>
      <c r="B239" s="276"/>
      <c r="C239" s="92"/>
      <c r="D239" s="92"/>
      <c r="E239" s="22"/>
      <c r="F239" s="23"/>
      <c r="G239" s="24"/>
      <c r="H239" s="28"/>
      <c r="I239" s="230"/>
      <c r="J239" s="231"/>
      <c r="K239" s="155"/>
      <c r="L239" s="154"/>
      <c r="M239" s="46"/>
      <c r="N239" s="46"/>
      <c r="O239" s="46"/>
      <c r="P239" s="46"/>
      <c r="Q239" s="47"/>
      <c r="R239" s="46"/>
      <c r="S239" s="48"/>
    </row>
    <row r="240" spans="1:19" ht="51" customHeight="1" thickBot="1">
      <c r="A240" s="241" t="s">
        <v>450</v>
      </c>
      <c r="B240" s="228"/>
      <c r="C240" s="25"/>
      <c r="D240" s="25"/>
      <c r="E240" s="26"/>
      <c r="F240" s="25"/>
      <c r="G240" s="25"/>
      <c r="H240" s="93"/>
      <c r="I240" s="25"/>
      <c r="J240" s="25"/>
      <c r="K240" s="25"/>
      <c r="L240" s="25"/>
      <c r="M240" s="25"/>
      <c r="N240" s="25"/>
      <c r="O240" s="25"/>
      <c r="P240" s="25"/>
      <c r="Q240" s="25"/>
      <c r="R240" s="25"/>
      <c r="S240" s="94"/>
    </row>
    <row r="241" spans="1:19" ht="70" customHeight="1" thickBot="1">
      <c r="A241" s="227" t="s">
        <v>342</v>
      </c>
      <c r="B241" s="228"/>
      <c r="C241" s="32"/>
      <c r="D241" s="32"/>
      <c r="E241" s="26"/>
      <c r="F241" s="32"/>
      <c r="G241" s="25"/>
      <c r="H241" s="93"/>
      <c r="I241" s="32"/>
      <c r="J241" s="32"/>
      <c r="K241" s="32"/>
      <c r="L241" s="32"/>
      <c r="M241" s="32"/>
      <c r="N241" s="32"/>
      <c r="O241" s="32"/>
      <c r="P241" s="32"/>
      <c r="Q241" s="32"/>
      <c r="R241" s="32"/>
      <c r="S241" s="95"/>
    </row>
    <row r="242" spans="1:19" ht="17" thickBot="1">
      <c r="A242" s="229" t="s">
        <v>343</v>
      </c>
      <c r="B242" s="228"/>
      <c r="C242" s="25">
        <v>335</v>
      </c>
      <c r="D242" s="25">
        <v>16</v>
      </c>
      <c r="E242" s="26"/>
      <c r="F242" s="55">
        <v>325</v>
      </c>
      <c r="G242" s="27">
        <f>C242+D242</f>
        <v>351</v>
      </c>
      <c r="H242" s="28">
        <f>O242/G242</f>
        <v>7.407407407407407E-2</v>
      </c>
      <c r="I242" s="45">
        <f>F242*E242</f>
        <v>0</v>
      </c>
      <c r="J242" s="45">
        <f>(G242-F242)*E242</f>
        <v>0</v>
      </c>
      <c r="K242" s="25">
        <v>325</v>
      </c>
      <c r="L242" s="25">
        <v>0</v>
      </c>
      <c r="M242" s="29">
        <f>(G242-K242)/G242</f>
        <v>7.407407407407407E-2</v>
      </c>
      <c r="N242" s="25">
        <f>K242+L242</f>
        <v>325</v>
      </c>
      <c r="O242" s="25">
        <f>G242-F242</f>
        <v>26</v>
      </c>
      <c r="P242" s="25">
        <f>F242-N242</f>
        <v>0</v>
      </c>
      <c r="Q242" s="29"/>
      <c r="R242" s="30" t="s">
        <v>344</v>
      </c>
      <c r="S242" s="31" t="s">
        <v>345</v>
      </c>
    </row>
    <row r="243" spans="1:19" ht="17" thickBot="1">
      <c r="A243" s="227" t="s">
        <v>346</v>
      </c>
      <c r="B243" s="228"/>
      <c r="C243" s="32">
        <v>240</v>
      </c>
      <c r="D243" s="32">
        <v>16</v>
      </c>
      <c r="E243" s="26"/>
      <c r="F243" s="23">
        <v>237</v>
      </c>
      <c r="G243" s="27">
        <f>C243+D243</f>
        <v>256</v>
      </c>
      <c r="H243" s="28">
        <f>O243/G243</f>
        <v>7.421875E-2</v>
      </c>
      <c r="I243" s="44">
        <f>F243*E243</f>
        <v>0</v>
      </c>
      <c r="J243" s="44">
        <f>(G243-F243)*E243</f>
        <v>0</v>
      </c>
      <c r="K243" s="32">
        <v>230</v>
      </c>
      <c r="L243" s="32">
        <v>0</v>
      </c>
      <c r="M243" s="33">
        <f>(G243-K243)/G243</f>
        <v>0.1015625</v>
      </c>
      <c r="N243" s="32">
        <f>K243+L243</f>
        <v>230</v>
      </c>
      <c r="O243" s="32">
        <f>G243-F243</f>
        <v>19</v>
      </c>
      <c r="P243" s="32">
        <f>F243-N243</f>
        <v>7</v>
      </c>
      <c r="Q243" s="33"/>
      <c r="R243" s="34" t="s">
        <v>344</v>
      </c>
      <c r="S243" s="35" t="s">
        <v>347</v>
      </c>
    </row>
    <row r="244" spans="1:19" ht="17" thickBot="1">
      <c r="A244" s="229" t="s">
        <v>348</v>
      </c>
      <c r="B244" s="228"/>
      <c r="C244" s="25">
        <v>260</v>
      </c>
      <c r="D244" s="25">
        <v>16</v>
      </c>
      <c r="E244" s="26"/>
      <c r="F244" s="23">
        <v>258</v>
      </c>
      <c r="G244" s="27">
        <f>C244+D244</f>
        <v>276</v>
      </c>
      <c r="H244" s="28">
        <f>O244/G244</f>
        <v>6.5217391304347824E-2</v>
      </c>
      <c r="I244" s="45">
        <f>F244*E244</f>
        <v>0</v>
      </c>
      <c r="J244" s="45">
        <f>(G244-F244)*E244</f>
        <v>0</v>
      </c>
      <c r="K244" s="25">
        <v>250</v>
      </c>
      <c r="L244" s="25">
        <v>0</v>
      </c>
      <c r="M244" s="29">
        <f>(G244-K244)/G244</f>
        <v>9.420289855072464E-2</v>
      </c>
      <c r="N244" s="25">
        <f>K244+L244</f>
        <v>250</v>
      </c>
      <c r="O244" s="25">
        <f>G244-F244</f>
        <v>18</v>
      </c>
      <c r="P244" s="25">
        <f>F244-N244</f>
        <v>8</v>
      </c>
      <c r="Q244" s="29"/>
      <c r="R244" s="30" t="s">
        <v>344</v>
      </c>
      <c r="S244" s="31" t="s">
        <v>349</v>
      </c>
    </row>
    <row r="245" spans="1:19" ht="17" thickBot="1">
      <c r="A245" s="227" t="s">
        <v>350</v>
      </c>
      <c r="B245" s="228"/>
      <c r="C245" s="32">
        <v>49</v>
      </c>
      <c r="D245" s="32">
        <v>20.2</v>
      </c>
      <c r="E245" s="26"/>
      <c r="F245" s="23">
        <v>51</v>
      </c>
      <c r="G245" s="27">
        <f>C245+D245</f>
        <v>69.2</v>
      </c>
      <c r="H245" s="28">
        <f>O245/G245</f>
        <v>0.26300578034682082</v>
      </c>
      <c r="I245" s="44">
        <f>F245*E245</f>
        <v>0</v>
      </c>
      <c r="J245" s="44">
        <f>(G245-F245)*E245</f>
        <v>0</v>
      </c>
      <c r="K245" s="32">
        <v>49</v>
      </c>
      <c r="L245" s="32">
        <v>0</v>
      </c>
      <c r="M245" s="33">
        <f>(G245-K245)/G245</f>
        <v>0.2919075144508671</v>
      </c>
      <c r="N245" s="32">
        <f>K245+L245</f>
        <v>49</v>
      </c>
      <c r="O245" s="32">
        <f>G245-F245</f>
        <v>18.200000000000003</v>
      </c>
      <c r="P245" s="32">
        <f>F245-N245</f>
        <v>2</v>
      </c>
      <c r="Q245" s="33"/>
      <c r="R245" s="34" t="s">
        <v>344</v>
      </c>
      <c r="S245" s="35" t="s">
        <v>351</v>
      </c>
    </row>
    <row r="246" spans="1:19" ht="17" thickBot="1">
      <c r="A246" s="294" t="s">
        <v>352</v>
      </c>
      <c r="B246" s="295"/>
      <c r="C246" s="96"/>
      <c r="D246" s="96"/>
      <c r="E246" s="22"/>
      <c r="F246" s="23"/>
      <c r="G246" s="24"/>
      <c r="H246" s="28"/>
      <c r="I246" s="230"/>
      <c r="J246" s="231"/>
      <c r="K246" s="155"/>
      <c r="L246" s="154"/>
      <c r="M246" s="46"/>
      <c r="N246" s="46"/>
      <c r="O246" s="46"/>
      <c r="P246" s="46"/>
      <c r="Q246" s="47"/>
      <c r="R246" s="46"/>
      <c r="S246" s="48"/>
    </row>
    <row r="247" spans="1:19" ht="40" customHeight="1" thickBot="1">
      <c r="A247" s="241" t="s">
        <v>353</v>
      </c>
      <c r="B247" s="228"/>
      <c r="C247" s="25"/>
      <c r="D247" s="25"/>
      <c r="E247" s="26"/>
      <c r="F247" s="23"/>
      <c r="G247" s="27"/>
      <c r="H247" s="28"/>
      <c r="I247" s="25"/>
      <c r="J247" s="25"/>
      <c r="K247" s="25"/>
      <c r="L247" s="25"/>
      <c r="M247" s="25"/>
      <c r="N247" s="25"/>
      <c r="O247" s="25"/>
      <c r="P247" s="25"/>
      <c r="Q247" s="29"/>
      <c r="R247" s="30"/>
      <c r="S247" s="31"/>
    </row>
    <row r="248" spans="1:19" ht="56" customHeight="1" thickBot="1">
      <c r="A248" s="227" t="s">
        <v>354</v>
      </c>
      <c r="B248" s="228"/>
      <c r="C248" s="32"/>
      <c r="D248" s="32"/>
      <c r="E248" s="26"/>
      <c r="F248" s="23"/>
      <c r="G248" s="27"/>
      <c r="H248" s="28"/>
      <c r="I248" s="32"/>
      <c r="J248" s="32"/>
      <c r="K248" s="32"/>
      <c r="L248" s="32"/>
      <c r="M248" s="32"/>
      <c r="N248" s="32"/>
      <c r="O248" s="32"/>
      <c r="P248" s="32"/>
      <c r="Q248" s="33"/>
      <c r="R248" s="34"/>
      <c r="S248" s="35"/>
    </row>
    <row r="249" spans="1:19" ht="17" thickBot="1">
      <c r="A249" s="229" t="s">
        <v>355</v>
      </c>
      <c r="B249" s="228"/>
      <c r="C249" s="25">
        <v>155</v>
      </c>
      <c r="D249" s="25">
        <v>60</v>
      </c>
      <c r="E249" s="26"/>
      <c r="F249" s="23">
        <v>184</v>
      </c>
      <c r="G249" s="27">
        <f t="shared" ref="G249:G254" si="131">C249+D249</f>
        <v>215</v>
      </c>
      <c r="H249" s="28">
        <f t="shared" ref="H249:H254" si="132">O249/G249</f>
        <v>0.14418604651162792</v>
      </c>
      <c r="I249" s="45">
        <f t="shared" ref="I249:I254" si="133">F249*E249</f>
        <v>0</v>
      </c>
      <c r="J249" s="45">
        <f t="shared" ref="J249:J254" si="134">(G249-F249)*E249</f>
        <v>0</v>
      </c>
      <c r="K249" s="25">
        <f>155+23</f>
        <v>178</v>
      </c>
      <c r="L249" s="25">
        <v>0</v>
      </c>
      <c r="M249" s="29">
        <f t="shared" ref="M249:M254" si="135">(G249-K249)/G249</f>
        <v>0.17209302325581396</v>
      </c>
      <c r="N249" s="25">
        <f t="shared" ref="N249:N254" si="136">K249+L249</f>
        <v>178</v>
      </c>
      <c r="O249" s="25">
        <f t="shared" ref="O249:O254" si="137">G249-F249</f>
        <v>31</v>
      </c>
      <c r="P249" s="25">
        <f t="shared" ref="P249:P254" si="138">F249-N249</f>
        <v>6</v>
      </c>
      <c r="Q249" s="29"/>
      <c r="R249" s="30" t="s">
        <v>356</v>
      </c>
      <c r="S249" s="31" t="s">
        <v>357</v>
      </c>
    </row>
    <row r="250" spans="1:19" ht="17" thickBot="1">
      <c r="A250" s="227" t="s">
        <v>358</v>
      </c>
      <c r="B250" s="228"/>
      <c r="C250" s="32">
        <v>195</v>
      </c>
      <c r="D250" s="32">
        <v>60</v>
      </c>
      <c r="E250" s="26"/>
      <c r="F250" s="23">
        <v>225</v>
      </c>
      <c r="G250" s="27">
        <f t="shared" si="131"/>
        <v>255</v>
      </c>
      <c r="H250" s="28">
        <f t="shared" si="132"/>
        <v>0.11764705882352941</v>
      </c>
      <c r="I250" s="44">
        <f t="shared" si="133"/>
        <v>0</v>
      </c>
      <c r="J250" s="44">
        <f t="shared" si="134"/>
        <v>0</v>
      </c>
      <c r="K250" s="32">
        <f>195+23</f>
        <v>218</v>
      </c>
      <c r="L250" s="32">
        <v>0</v>
      </c>
      <c r="M250" s="33">
        <f t="shared" si="135"/>
        <v>0.14509803921568629</v>
      </c>
      <c r="N250" s="32">
        <f t="shared" si="136"/>
        <v>218</v>
      </c>
      <c r="O250" s="32">
        <f t="shared" si="137"/>
        <v>30</v>
      </c>
      <c r="P250" s="32">
        <f t="shared" si="138"/>
        <v>7</v>
      </c>
      <c r="Q250" s="33"/>
      <c r="R250" s="34" t="s">
        <v>356</v>
      </c>
      <c r="S250" s="35" t="s">
        <v>359</v>
      </c>
    </row>
    <row r="251" spans="1:19" ht="17" thickBot="1">
      <c r="A251" s="229" t="s">
        <v>360</v>
      </c>
      <c r="B251" s="228"/>
      <c r="C251" s="25">
        <v>230</v>
      </c>
      <c r="D251" s="25">
        <v>60</v>
      </c>
      <c r="E251" s="26"/>
      <c r="F251" s="23">
        <v>261</v>
      </c>
      <c r="G251" s="27">
        <f t="shared" si="131"/>
        <v>290</v>
      </c>
      <c r="H251" s="28">
        <f t="shared" si="132"/>
        <v>0.1</v>
      </c>
      <c r="I251" s="45">
        <f t="shared" si="133"/>
        <v>0</v>
      </c>
      <c r="J251" s="45">
        <f t="shared" si="134"/>
        <v>0</v>
      </c>
      <c r="K251" s="25">
        <f>230+23</f>
        <v>253</v>
      </c>
      <c r="L251" s="25">
        <v>0</v>
      </c>
      <c r="M251" s="29">
        <f t="shared" si="135"/>
        <v>0.12758620689655173</v>
      </c>
      <c r="N251" s="25">
        <f t="shared" si="136"/>
        <v>253</v>
      </c>
      <c r="O251" s="25">
        <f t="shared" si="137"/>
        <v>29</v>
      </c>
      <c r="P251" s="25">
        <f t="shared" si="138"/>
        <v>8</v>
      </c>
      <c r="Q251" s="29"/>
      <c r="R251" s="30" t="s">
        <v>356</v>
      </c>
      <c r="S251" s="31" t="s">
        <v>361</v>
      </c>
    </row>
    <row r="252" spans="1:19" ht="17" thickBot="1">
      <c r="A252" s="227" t="s">
        <v>362</v>
      </c>
      <c r="B252" s="228"/>
      <c r="C252" s="32">
        <v>290</v>
      </c>
      <c r="D252" s="32">
        <v>60</v>
      </c>
      <c r="E252" s="26"/>
      <c r="F252" s="23">
        <v>323</v>
      </c>
      <c r="G252" s="27">
        <f t="shared" si="131"/>
        <v>350</v>
      </c>
      <c r="H252" s="28">
        <f t="shared" si="132"/>
        <v>7.7142857142857138E-2</v>
      </c>
      <c r="I252" s="44">
        <f t="shared" si="133"/>
        <v>0</v>
      </c>
      <c r="J252" s="44">
        <f t="shared" si="134"/>
        <v>0</v>
      </c>
      <c r="K252" s="32">
        <f>290+23</f>
        <v>313</v>
      </c>
      <c r="L252" s="32">
        <v>0</v>
      </c>
      <c r="M252" s="33">
        <f t="shared" si="135"/>
        <v>0.10571428571428572</v>
      </c>
      <c r="N252" s="32">
        <f t="shared" si="136"/>
        <v>313</v>
      </c>
      <c r="O252" s="32">
        <f t="shared" si="137"/>
        <v>27</v>
      </c>
      <c r="P252" s="32">
        <f t="shared" si="138"/>
        <v>10</v>
      </c>
      <c r="Q252" s="33"/>
      <c r="R252" s="34" t="s">
        <v>356</v>
      </c>
      <c r="S252" s="35" t="s">
        <v>363</v>
      </c>
    </row>
    <row r="253" spans="1:19" ht="17" thickBot="1">
      <c r="A253" s="229" t="s">
        <v>364</v>
      </c>
      <c r="B253" s="228"/>
      <c r="C253" s="25">
        <v>20</v>
      </c>
      <c r="D253" s="25">
        <v>5</v>
      </c>
      <c r="E253" s="26"/>
      <c r="F253" s="23">
        <v>22</v>
      </c>
      <c r="G253" s="27">
        <f t="shared" si="131"/>
        <v>25</v>
      </c>
      <c r="H253" s="28">
        <f t="shared" si="132"/>
        <v>0.12</v>
      </c>
      <c r="I253" s="45">
        <f t="shared" si="133"/>
        <v>0</v>
      </c>
      <c r="J253" s="45">
        <f t="shared" si="134"/>
        <v>0</v>
      </c>
      <c r="K253" s="25">
        <v>20</v>
      </c>
      <c r="L253" s="25">
        <v>0</v>
      </c>
      <c r="M253" s="29">
        <f t="shared" si="135"/>
        <v>0.2</v>
      </c>
      <c r="N253" s="25">
        <f t="shared" si="136"/>
        <v>20</v>
      </c>
      <c r="O253" s="25">
        <f t="shared" si="137"/>
        <v>3</v>
      </c>
      <c r="P253" s="25">
        <f t="shared" si="138"/>
        <v>2</v>
      </c>
      <c r="Q253" s="29"/>
      <c r="R253" s="30" t="s">
        <v>356</v>
      </c>
      <c r="S253" s="31" t="s">
        <v>365</v>
      </c>
    </row>
    <row r="254" spans="1:19" ht="69" customHeight="1" thickBot="1">
      <c r="A254" s="271" t="s">
        <v>440</v>
      </c>
      <c r="B254" s="228"/>
      <c r="C254" s="32">
        <v>65</v>
      </c>
      <c r="D254" s="32">
        <v>0</v>
      </c>
      <c r="E254" s="26"/>
      <c r="F254" s="23">
        <v>65</v>
      </c>
      <c r="G254" s="27">
        <f t="shared" si="131"/>
        <v>65</v>
      </c>
      <c r="H254" s="28">
        <f t="shared" si="132"/>
        <v>0</v>
      </c>
      <c r="I254" s="44">
        <f t="shared" si="133"/>
        <v>0</v>
      </c>
      <c r="J254" s="44">
        <f t="shared" si="134"/>
        <v>0</v>
      </c>
      <c r="K254" s="32">
        <v>65</v>
      </c>
      <c r="L254" s="32">
        <v>0</v>
      </c>
      <c r="M254" s="33">
        <f t="shared" si="135"/>
        <v>0</v>
      </c>
      <c r="N254" s="32">
        <f t="shared" si="136"/>
        <v>65</v>
      </c>
      <c r="O254" s="32">
        <f t="shared" si="137"/>
        <v>0</v>
      </c>
      <c r="P254" s="32">
        <f t="shared" si="138"/>
        <v>0</v>
      </c>
      <c r="Q254" s="33"/>
      <c r="R254" s="34" t="s">
        <v>356</v>
      </c>
      <c r="S254" s="35" t="s">
        <v>366</v>
      </c>
    </row>
    <row r="255" spans="1:19" ht="91" customHeight="1" thickBot="1">
      <c r="A255" s="229"/>
      <c r="B255" s="228"/>
      <c r="C255" s="228"/>
      <c r="D255" s="228"/>
      <c r="E255" s="228"/>
      <c r="F255" s="228"/>
      <c r="G255" s="228"/>
      <c r="H255" s="228"/>
      <c r="I255" s="228"/>
      <c r="J255" s="228"/>
      <c r="K255" s="228"/>
      <c r="L255" s="228"/>
      <c r="M255" s="228"/>
      <c r="N255" s="228"/>
      <c r="O255" s="228"/>
      <c r="P255" s="228"/>
      <c r="Q255" s="228"/>
      <c r="R255" s="228"/>
      <c r="S255" s="296"/>
    </row>
    <row r="256" spans="1:19" ht="17" thickBot="1">
      <c r="A256" s="238" t="s">
        <v>367</v>
      </c>
      <c r="B256" s="232"/>
      <c r="C256" s="46"/>
      <c r="D256" s="46"/>
      <c r="E256" s="22"/>
      <c r="F256" s="23"/>
      <c r="G256" s="24"/>
      <c r="H256" s="28"/>
      <c r="I256" s="230"/>
      <c r="J256" s="231"/>
      <c r="K256" s="155"/>
      <c r="L256" s="154"/>
      <c r="M256" s="46"/>
      <c r="N256" s="46"/>
      <c r="O256" s="46"/>
      <c r="P256" s="46"/>
      <c r="Q256" s="47"/>
      <c r="R256" s="46"/>
      <c r="S256" s="48"/>
    </row>
    <row r="257" spans="1:19" ht="17" thickBot="1">
      <c r="A257" s="241" t="s">
        <v>368</v>
      </c>
      <c r="B257" s="228"/>
      <c r="C257" s="25">
        <v>2.5</v>
      </c>
      <c r="D257" s="25">
        <f>120/80</f>
        <v>1.5</v>
      </c>
      <c r="E257" s="26"/>
      <c r="F257" s="23">
        <v>2.5</v>
      </c>
      <c r="G257" s="27">
        <f>C257+D257</f>
        <v>4</v>
      </c>
      <c r="H257" s="28">
        <f>O257/G257</f>
        <v>0.375</v>
      </c>
      <c r="I257" s="45">
        <f>F257*E257</f>
        <v>0</v>
      </c>
      <c r="J257" s="45">
        <f>(G257-F257)*E257</f>
        <v>0</v>
      </c>
      <c r="K257" s="25">
        <v>1.25</v>
      </c>
      <c r="L257" s="25">
        <f>250/400</f>
        <v>0.625</v>
      </c>
      <c r="M257" s="29">
        <f>(G257-K257)/G257</f>
        <v>0.6875</v>
      </c>
      <c r="N257" s="25">
        <f>K257+L257</f>
        <v>1.875</v>
      </c>
      <c r="O257" s="25">
        <f>G257-F257</f>
        <v>1.5</v>
      </c>
      <c r="P257" s="25">
        <f>H257*400</f>
        <v>150</v>
      </c>
      <c r="Q257" s="29">
        <f>H257/N257</f>
        <v>0.2</v>
      </c>
      <c r="R257" s="30" t="s">
        <v>369</v>
      </c>
      <c r="S257" s="31" t="s">
        <v>369</v>
      </c>
    </row>
    <row r="258" spans="1:19" ht="63" customHeight="1" thickBot="1">
      <c r="A258" s="271" t="s">
        <v>441</v>
      </c>
      <c r="B258" s="228"/>
      <c r="C258" s="32">
        <v>152</v>
      </c>
      <c r="D258" s="32">
        <f>C258*0.1</f>
        <v>15.200000000000001</v>
      </c>
      <c r="E258" s="36"/>
      <c r="F258" s="23">
        <v>148</v>
      </c>
      <c r="G258" s="27">
        <f>C258+D258</f>
        <v>167.2</v>
      </c>
      <c r="H258" s="28">
        <f>O258/G258</f>
        <v>0.1148325358851674</v>
      </c>
      <c r="I258" s="39">
        <f>E258*F258</f>
        <v>0</v>
      </c>
      <c r="J258" s="39">
        <f>(G258-F258)*E258</f>
        <v>0</v>
      </c>
      <c r="K258" s="39">
        <f>C258*0.9</f>
        <v>136.80000000000001</v>
      </c>
      <c r="L258" s="32">
        <f>K258*0.02</f>
        <v>2.7360000000000002</v>
      </c>
      <c r="M258" s="32"/>
      <c r="N258" s="32">
        <f>K258+L258</f>
        <v>139.536</v>
      </c>
      <c r="O258" s="32">
        <f>G258-F258</f>
        <v>19.199999999999989</v>
      </c>
      <c r="P258" s="32">
        <f>F258-N258</f>
        <v>8.4639999999999986</v>
      </c>
      <c r="Q258" s="33">
        <f>P258/N258</f>
        <v>6.0658181401215448E-2</v>
      </c>
      <c r="R258" s="34" t="s">
        <v>133</v>
      </c>
      <c r="S258" s="35" t="s">
        <v>370</v>
      </c>
    </row>
    <row r="259" spans="1:19" ht="66" customHeight="1" thickBot="1">
      <c r="A259" s="242" t="s">
        <v>442</v>
      </c>
      <c r="B259" s="228"/>
      <c r="C259" s="25"/>
      <c r="D259" s="25"/>
      <c r="E259" s="38"/>
      <c r="F259" s="23"/>
      <c r="G259" s="27"/>
      <c r="H259" s="28"/>
      <c r="I259" s="45"/>
      <c r="J259" s="45"/>
      <c r="K259" s="37"/>
      <c r="L259" s="25"/>
      <c r="M259" s="25"/>
      <c r="N259" s="25"/>
      <c r="O259" s="25"/>
      <c r="P259" s="25"/>
      <c r="Q259" s="29"/>
      <c r="R259" s="30"/>
      <c r="S259" s="31"/>
    </row>
    <row r="260" spans="1:19" ht="17" thickBot="1">
      <c r="A260" s="227" t="s">
        <v>371</v>
      </c>
      <c r="B260" s="228"/>
      <c r="C260" s="32">
        <v>205</v>
      </c>
      <c r="D260" s="32">
        <f>C260*0.1</f>
        <v>20.5</v>
      </c>
      <c r="E260" s="38"/>
      <c r="F260" s="23">
        <v>199</v>
      </c>
      <c r="G260" s="27">
        <f>C260+D260</f>
        <v>225.5</v>
      </c>
      <c r="H260" s="28">
        <f>O260/G260</f>
        <v>0.11751662971175167</v>
      </c>
      <c r="I260" s="44">
        <f>F260*E260</f>
        <v>0</v>
      </c>
      <c r="J260" s="44">
        <f>(G260-F260)*E260</f>
        <v>0</v>
      </c>
      <c r="K260" s="39">
        <f>C260*0.9</f>
        <v>184.5</v>
      </c>
      <c r="L260" s="32">
        <f>K260*0.02</f>
        <v>3.69</v>
      </c>
      <c r="M260" s="32"/>
      <c r="N260" s="32">
        <f>K260+L260</f>
        <v>188.19</v>
      </c>
      <c r="O260" s="32">
        <f>G260-F260</f>
        <v>26.5</v>
      </c>
      <c r="P260" s="32">
        <f>F260-N260</f>
        <v>10.810000000000002</v>
      </c>
      <c r="Q260" s="33">
        <f>P260/N260</f>
        <v>5.7441946968489303E-2</v>
      </c>
      <c r="R260" s="34" t="s">
        <v>133</v>
      </c>
      <c r="S260" s="35" t="s">
        <v>372</v>
      </c>
    </row>
    <row r="261" spans="1:19" ht="17" thickBot="1">
      <c r="A261" s="229" t="s">
        <v>373</v>
      </c>
      <c r="B261" s="228"/>
      <c r="C261" s="25">
        <v>212</v>
      </c>
      <c r="D261" s="25">
        <f>C261*0.1</f>
        <v>21.200000000000003</v>
      </c>
      <c r="E261" s="38"/>
      <c r="F261" s="23">
        <v>206</v>
      </c>
      <c r="G261" s="27">
        <f>C261+D261</f>
        <v>233.2</v>
      </c>
      <c r="H261" s="28">
        <f>O261/G261</f>
        <v>0.1166380789022298</v>
      </c>
      <c r="I261" s="45">
        <f>F261*E261</f>
        <v>0</v>
      </c>
      <c r="J261" s="45">
        <f>(G261-F261)*E261</f>
        <v>0</v>
      </c>
      <c r="K261" s="37">
        <f>C261*0.9</f>
        <v>190.8</v>
      </c>
      <c r="L261" s="25">
        <f>K261*0.02</f>
        <v>3.8160000000000003</v>
      </c>
      <c r="M261" s="25"/>
      <c r="N261" s="25">
        <f>K261+L261</f>
        <v>194.61600000000001</v>
      </c>
      <c r="O261" s="25">
        <f>G261-F261</f>
        <v>27.199999999999989</v>
      </c>
      <c r="P261" s="25">
        <f>F261-N261</f>
        <v>11.383999999999986</v>
      </c>
      <c r="Q261" s="29">
        <f>P261/N261</f>
        <v>5.8494676696674401E-2</v>
      </c>
      <c r="R261" s="30" t="s">
        <v>133</v>
      </c>
      <c r="S261" s="31" t="s">
        <v>374</v>
      </c>
    </row>
    <row r="262" spans="1:19" s="165" customFormat="1" ht="17" thickBot="1">
      <c r="A262" s="222" t="s">
        <v>508</v>
      </c>
      <c r="C262" s="25"/>
      <c r="D262" s="25"/>
      <c r="E262" s="38"/>
      <c r="F262" s="23"/>
      <c r="G262" s="27"/>
      <c r="H262" s="28"/>
      <c r="I262" s="45"/>
      <c r="J262" s="45"/>
      <c r="K262" s="37"/>
      <c r="L262" s="25"/>
      <c r="M262" s="25"/>
      <c r="N262" s="25"/>
      <c r="O262" s="25"/>
      <c r="P262" s="25"/>
      <c r="Q262" s="29"/>
      <c r="R262" s="207"/>
      <c r="S262" s="221"/>
    </row>
    <row r="263" spans="1:19" ht="17" thickBot="1">
      <c r="A263" s="238" t="s">
        <v>501</v>
      </c>
      <c r="B263" s="232"/>
      <c r="C263" s="46"/>
      <c r="D263" s="46"/>
      <c r="E263" s="22"/>
      <c r="F263" s="23"/>
      <c r="G263" s="24"/>
      <c r="H263" s="28"/>
      <c r="I263" s="230"/>
      <c r="J263" s="232"/>
      <c r="K263" s="206"/>
      <c r="L263" s="166"/>
      <c r="M263" s="46"/>
      <c r="N263" s="46"/>
      <c r="O263" s="46"/>
      <c r="P263" s="46"/>
      <c r="Q263" s="47"/>
      <c r="R263" s="46"/>
      <c r="S263" s="48"/>
    </row>
    <row r="264" spans="1:19" ht="17" customHeight="1" thickBot="1">
      <c r="A264" s="233" t="s">
        <v>375</v>
      </c>
      <c r="B264" s="234"/>
      <c r="C264" s="207">
        <v>32.6</v>
      </c>
      <c r="D264" s="207">
        <f t="shared" ref="D264:D269" si="139">C264*0.1</f>
        <v>3.2600000000000002</v>
      </c>
      <c r="E264" s="38"/>
      <c r="F264" s="23">
        <v>32</v>
      </c>
      <c r="G264" s="27">
        <f t="shared" ref="G264:G281" si="140">C264+D264</f>
        <v>35.86</v>
      </c>
      <c r="H264" s="28">
        <f t="shared" ref="H264:H281" si="141">(G264-F264)/G264</f>
        <v>0.10764082543223646</v>
      </c>
      <c r="I264" s="208">
        <f t="shared" ref="I264:I281" si="142">F264*E264</f>
        <v>0</v>
      </c>
      <c r="J264" s="208">
        <f t="shared" ref="J264:J281" si="143">(G264-F264)*E264</f>
        <v>0</v>
      </c>
      <c r="K264" s="209">
        <f t="shared" ref="K264:K269" si="144">C264*0.9</f>
        <v>29.340000000000003</v>
      </c>
      <c r="L264" s="207">
        <f t="shared" ref="L264:L269" si="145">K264*0.02</f>
        <v>0.5868000000000001</v>
      </c>
      <c r="M264" s="207">
        <f t="shared" ref="M264:M281" si="146">(G264-K264)/G264</f>
        <v>0.18181818181818171</v>
      </c>
      <c r="N264" s="207">
        <f t="shared" ref="N264:N281" si="147">K264+L264</f>
        <v>29.926800000000004</v>
      </c>
      <c r="O264" s="207">
        <f t="shared" ref="O264:O281" si="148">G264-F264</f>
        <v>3.8599999999999994</v>
      </c>
      <c r="P264" s="207">
        <f t="shared" ref="P264:P281" si="149">F264-N264</f>
        <v>2.0731999999999964</v>
      </c>
      <c r="Q264" s="210">
        <f t="shared" ref="Q264:Q281" si="150">P264/N264</f>
        <v>6.927569937313699E-2</v>
      </c>
      <c r="R264" s="30" t="s">
        <v>133</v>
      </c>
      <c r="S264" s="31" t="s">
        <v>376</v>
      </c>
    </row>
    <row r="265" spans="1:19" ht="17" customHeight="1" thickBot="1">
      <c r="A265" s="235" t="s">
        <v>377</v>
      </c>
      <c r="B265" s="236"/>
      <c r="C265" s="211">
        <v>31</v>
      </c>
      <c r="D265" s="211">
        <f t="shared" si="139"/>
        <v>3.1</v>
      </c>
      <c r="E265" s="38"/>
      <c r="F265" s="23">
        <v>31</v>
      </c>
      <c r="G265" s="27">
        <f t="shared" si="140"/>
        <v>34.1</v>
      </c>
      <c r="H265" s="28">
        <f t="shared" si="141"/>
        <v>9.0909090909090953E-2</v>
      </c>
      <c r="I265" s="212">
        <f t="shared" si="142"/>
        <v>0</v>
      </c>
      <c r="J265" s="212">
        <f t="shared" si="143"/>
        <v>0</v>
      </c>
      <c r="K265" s="213">
        <f t="shared" si="144"/>
        <v>27.900000000000002</v>
      </c>
      <c r="L265" s="211">
        <f t="shared" si="145"/>
        <v>0.55800000000000005</v>
      </c>
      <c r="M265" s="211">
        <f t="shared" si="146"/>
        <v>0.1818181818181818</v>
      </c>
      <c r="N265" s="211">
        <f t="shared" si="147"/>
        <v>28.458000000000002</v>
      </c>
      <c r="O265" s="211">
        <f t="shared" si="148"/>
        <v>3.1000000000000014</v>
      </c>
      <c r="P265" s="211">
        <f t="shared" si="149"/>
        <v>2.541999999999998</v>
      </c>
      <c r="Q265" s="214">
        <f t="shared" si="150"/>
        <v>8.9324618736383365E-2</v>
      </c>
      <c r="R265" s="34" t="s">
        <v>133</v>
      </c>
      <c r="S265" s="35" t="s">
        <v>378</v>
      </c>
    </row>
    <row r="266" spans="1:19" ht="17" customHeight="1" thickBot="1">
      <c r="A266" s="233" t="s">
        <v>379</v>
      </c>
      <c r="B266" s="234"/>
      <c r="C266" s="207">
        <v>39.5</v>
      </c>
      <c r="D266" s="207">
        <f t="shared" si="139"/>
        <v>3.95</v>
      </c>
      <c r="E266" s="38"/>
      <c r="F266" s="23">
        <v>39</v>
      </c>
      <c r="G266" s="27">
        <f t="shared" si="140"/>
        <v>43.45</v>
      </c>
      <c r="H266" s="28">
        <f t="shared" si="141"/>
        <v>0.10241657077100121</v>
      </c>
      <c r="I266" s="208">
        <f t="shared" si="142"/>
        <v>0</v>
      </c>
      <c r="J266" s="208">
        <f t="shared" si="143"/>
        <v>0</v>
      </c>
      <c r="K266" s="209">
        <f t="shared" si="144"/>
        <v>35.550000000000004</v>
      </c>
      <c r="L266" s="207">
        <f t="shared" si="145"/>
        <v>0.71100000000000008</v>
      </c>
      <c r="M266" s="207">
        <f t="shared" si="146"/>
        <v>0.18181818181818177</v>
      </c>
      <c r="N266" s="207">
        <f t="shared" si="147"/>
        <v>36.261000000000003</v>
      </c>
      <c r="O266" s="207">
        <f t="shared" si="148"/>
        <v>4.4500000000000028</v>
      </c>
      <c r="P266" s="207">
        <f t="shared" si="149"/>
        <v>2.7389999999999972</v>
      </c>
      <c r="Q266" s="210">
        <f t="shared" si="150"/>
        <v>7.5535699511872181E-2</v>
      </c>
      <c r="R266" s="30" t="s">
        <v>133</v>
      </c>
      <c r="S266" s="31" t="s">
        <v>380</v>
      </c>
    </row>
    <row r="267" spans="1:19" ht="17" customHeight="1" thickBot="1">
      <c r="A267" s="235" t="s">
        <v>381</v>
      </c>
      <c r="B267" s="236"/>
      <c r="C267" s="211">
        <f>1.8*25</f>
        <v>45</v>
      </c>
      <c r="D267" s="211">
        <f t="shared" si="139"/>
        <v>4.5</v>
      </c>
      <c r="E267" s="38"/>
      <c r="F267" s="23">
        <v>44</v>
      </c>
      <c r="G267" s="27">
        <f t="shared" si="140"/>
        <v>49.5</v>
      </c>
      <c r="H267" s="28">
        <f t="shared" si="141"/>
        <v>0.1111111111111111</v>
      </c>
      <c r="I267" s="212">
        <f t="shared" si="142"/>
        <v>0</v>
      </c>
      <c r="J267" s="212">
        <f t="shared" si="143"/>
        <v>0</v>
      </c>
      <c r="K267" s="213">
        <f t="shared" si="144"/>
        <v>40.5</v>
      </c>
      <c r="L267" s="211">
        <f t="shared" si="145"/>
        <v>0.81</v>
      </c>
      <c r="M267" s="211">
        <f t="shared" si="146"/>
        <v>0.18181818181818182</v>
      </c>
      <c r="N267" s="211">
        <f t="shared" si="147"/>
        <v>41.31</v>
      </c>
      <c r="O267" s="211">
        <f t="shared" si="148"/>
        <v>5.5</v>
      </c>
      <c r="P267" s="211">
        <f t="shared" si="149"/>
        <v>2.6899999999999977</v>
      </c>
      <c r="Q267" s="214">
        <f t="shared" si="150"/>
        <v>6.5117404986685973E-2</v>
      </c>
      <c r="R267" s="34" t="s">
        <v>133</v>
      </c>
      <c r="S267" s="35" t="s">
        <v>382</v>
      </c>
    </row>
    <row r="268" spans="1:19" ht="17" customHeight="1" thickBot="1">
      <c r="A268" s="233" t="s">
        <v>383</v>
      </c>
      <c r="B268" s="234"/>
      <c r="C268" s="207">
        <f>1.65*25</f>
        <v>41.25</v>
      </c>
      <c r="D268" s="207">
        <f t="shared" si="139"/>
        <v>4.125</v>
      </c>
      <c r="E268" s="38"/>
      <c r="F268" s="23">
        <v>41</v>
      </c>
      <c r="G268" s="27">
        <f t="shared" si="140"/>
        <v>45.375</v>
      </c>
      <c r="H268" s="28">
        <f t="shared" si="141"/>
        <v>9.6418732782369149E-2</v>
      </c>
      <c r="I268" s="208">
        <f t="shared" si="142"/>
        <v>0</v>
      </c>
      <c r="J268" s="208">
        <f t="shared" si="143"/>
        <v>0</v>
      </c>
      <c r="K268" s="209">
        <f t="shared" si="144"/>
        <v>37.125</v>
      </c>
      <c r="L268" s="207">
        <f t="shared" si="145"/>
        <v>0.74250000000000005</v>
      </c>
      <c r="M268" s="207">
        <f t="shared" si="146"/>
        <v>0.18181818181818182</v>
      </c>
      <c r="N268" s="207">
        <f t="shared" si="147"/>
        <v>37.8675</v>
      </c>
      <c r="O268" s="207">
        <f t="shared" si="148"/>
        <v>4.375</v>
      </c>
      <c r="P268" s="207">
        <f t="shared" si="149"/>
        <v>3.1325000000000003</v>
      </c>
      <c r="Q268" s="210">
        <f t="shared" si="150"/>
        <v>8.2722651350102344E-2</v>
      </c>
      <c r="R268" s="30" t="s">
        <v>133</v>
      </c>
      <c r="S268" s="31" t="s">
        <v>384</v>
      </c>
    </row>
    <row r="269" spans="1:19" ht="17" customHeight="1" thickBot="1">
      <c r="A269" s="235" t="s">
        <v>385</v>
      </c>
      <c r="B269" s="236"/>
      <c r="C269" s="211">
        <f>1.35*25</f>
        <v>33.75</v>
      </c>
      <c r="D269" s="211">
        <f t="shared" si="139"/>
        <v>3.375</v>
      </c>
      <c r="E269" s="38"/>
      <c r="F269" s="23">
        <v>33</v>
      </c>
      <c r="G269" s="27">
        <f t="shared" si="140"/>
        <v>37.125</v>
      </c>
      <c r="H269" s="28">
        <f t="shared" si="141"/>
        <v>0.1111111111111111</v>
      </c>
      <c r="I269" s="212">
        <f t="shared" si="142"/>
        <v>0</v>
      </c>
      <c r="J269" s="212">
        <f t="shared" si="143"/>
        <v>0</v>
      </c>
      <c r="K269" s="213">
        <f t="shared" si="144"/>
        <v>30.375</v>
      </c>
      <c r="L269" s="211">
        <f t="shared" si="145"/>
        <v>0.60750000000000004</v>
      </c>
      <c r="M269" s="211">
        <f t="shared" si="146"/>
        <v>0.18181818181818182</v>
      </c>
      <c r="N269" s="211">
        <f t="shared" si="147"/>
        <v>30.982500000000002</v>
      </c>
      <c r="O269" s="211">
        <f t="shared" si="148"/>
        <v>4.125</v>
      </c>
      <c r="P269" s="211">
        <f t="shared" si="149"/>
        <v>2.0174999999999983</v>
      </c>
      <c r="Q269" s="214">
        <f t="shared" si="150"/>
        <v>6.5117404986685973E-2</v>
      </c>
      <c r="R269" s="34" t="s">
        <v>133</v>
      </c>
      <c r="S269" s="35" t="s">
        <v>386</v>
      </c>
    </row>
    <row r="270" spans="1:19" ht="17" customHeight="1" thickBot="1">
      <c r="A270" s="233" t="s">
        <v>457</v>
      </c>
      <c r="B270" s="234"/>
      <c r="C270" s="215">
        <v>16.989999999999998</v>
      </c>
      <c r="D270" s="207">
        <f>75/42</f>
        <v>1.7857142857142858</v>
      </c>
      <c r="E270" s="38"/>
      <c r="F270" s="23">
        <v>16</v>
      </c>
      <c r="G270" s="27">
        <f t="shared" si="140"/>
        <v>18.775714285714283</v>
      </c>
      <c r="H270" s="28">
        <f t="shared" si="141"/>
        <v>0.14783534961576492</v>
      </c>
      <c r="I270" s="208">
        <f t="shared" si="142"/>
        <v>0</v>
      </c>
      <c r="J270" s="208">
        <f t="shared" si="143"/>
        <v>0</v>
      </c>
      <c r="K270" s="216">
        <v>14.76</v>
      </c>
      <c r="L270" s="215">
        <v>0</v>
      </c>
      <c r="M270" s="207">
        <f t="shared" si="146"/>
        <v>0.21387811002054316</v>
      </c>
      <c r="N270" s="207">
        <f t="shared" si="147"/>
        <v>14.76</v>
      </c>
      <c r="O270" s="207">
        <f t="shared" si="148"/>
        <v>2.7757142857142831</v>
      </c>
      <c r="P270" s="207">
        <f t="shared" si="149"/>
        <v>1.2400000000000002</v>
      </c>
      <c r="Q270" s="210">
        <f t="shared" si="150"/>
        <v>8.4010840108401097E-2</v>
      </c>
      <c r="R270" s="217" t="s">
        <v>500</v>
      </c>
      <c r="S270" s="31"/>
    </row>
    <row r="271" spans="1:19" ht="17" customHeight="1" thickBot="1">
      <c r="A271" s="235" t="s">
        <v>489</v>
      </c>
      <c r="B271" s="236"/>
      <c r="C271" s="218">
        <f>1.35*10</f>
        <v>13.5</v>
      </c>
      <c r="D271" s="218">
        <v>0</v>
      </c>
      <c r="E271" s="38"/>
      <c r="F271" s="23">
        <f>(N271*1.02)</f>
        <v>12.342000000000001</v>
      </c>
      <c r="G271" s="27">
        <f t="shared" si="140"/>
        <v>13.5</v>
      </c>
      <c r="H271" s="28">
        <f t="shared" si="141"/>
        <v>8.5777777777777744E-2</v>
      </c>
      <c r="I271" s="212">
        <f t="shared" si="142"/>
        <v>0</v>
      </c>
      <c r="J271" s="212">
        <f t="shared" si="143"/>
        <v>0</v>
      </c>
      <c r="K271" s="219">
        <f>1.21*10</f>
        <v>12.1</v>
      </c>
      <c r="L271" s="218">
        <v>0</v>
      </c>
      <c r="M271" s="211">
        <f t="shared" si="146"/>
        <v>0.10370370370370373</v>
      </c>
      <c r="N271" s="211">
        <f t="shared" si="147"/>
        <v>12.1</v>
      </c>
      <c r="O271" s="211">
        <f t="shared" si="148"/>
        <v>1.1579999999999995</v>
      </c>
      <c r="P271" s="211">
        <f t="shared" si="149"/>
        <v>0.24200000000000088</v>
      </c>
      <c r="Q271" s="214">
        <f t="shared" si="150"/>
        <v>2.0000000000000073E-2</v>
      </c>
      <c r="R271" s="220" t="s">
        <v>500</v>
      </c>
      <c r="S271" s="35"/>
    </row>
    <row r="272" spans="1:19" ht="17" customHeight="1" thickBot="1">
      <c r="A272" s="233" t="s">
        <v>490</v>
      </c>
      <c r="B272" s="234"/>
      <c r="C272" s="207">
        <f>20*1.75</f>
        <v>35</v>
      </c>
      <c r="D272" s="215">
        <v>0</v>
      </c>
      <c r="E272" s="38"/>
      <c r="F272" s="23">
        <v>30</v>
      </c>
      <c r="G272" s="27">
        <f t="shared" si="140"/>
        <v>35</v>
      </c>
      <c r="H272" s="28">
        <f t="shared" si="141"/>
        <v>0.14285714285714285</v>
      </c>
      <c r="I272" s="208">
        <f t="shared" si="142"/>
        <v>0</v>
      </c>
      <c r="J272" s="208">
        <f t="shared" si="143"/>
        <v>0</v>
      </c>
      <c r="K272" s="209">
        <f>20*1.44</f>
        <v>28.799999999999997</v>
      </c>
      <c r="L272" s="215">
        <v>0</v>
      </c>
      <c r="M272" s="207">
        <f t="shared" si="146"/>
        <v>0.17714285714285721</v>
      </c>
      <c r="N272" s="207">
        <f t="shared" si="147"/>
        <v>28.799999999999997</v>
      </c>
      <c r="O272" s="207">
        <f t="shared" si="148"/>
        <v>5</v>
      </c>
      <c r="P272" s="207">
        <f t="shared" si="149"/>
        <v>1.2000000000000028</v>
      </c>
      <c r="Q272" s="210">
        <f t="shared" si="150"/>
        <v>4.1666666666666768E-2</v>
      </c>
      <c r="R272" s="217" t="s">
        <v>500</v>
      </c>
      <c r="S272" s="31"/>
    </row>
    <row r="273" spans="1:19" ht="17" customHeight="1" thickBot="1">
      <c r="A273" s="235" t="s">
        <v>491</v>
      </c>
      <c r="B273" s="236"/>
      <c r="C273" s="211">
        <f>30*0.48</f>
        <v>14.399999999999999</v>
      </c>
      <c r="D273" s="218">
        <v>0</v>
      </c>
      <c r="E273" s="38"/>
      <c r="F273" s="55">
        <v>15</v>
      </c>
      <c r="G273" s="27">
        <f t="shared" si="140"/>
        <v>14.399999999999999</v>
      </c>
      <c r="H273" s="28">
        <f t="shared" si="141"/>
        <v>-4.1666666666666768E-2</v>
      </c>
      <c r="I273" s="212">
        <f t="shared" si="142"/>
        <v>0</v>
      </c>
      <c r="J273" s="212">
        <f t="shared" si="143"/>
        <v>0</v>
      </c>
      <c r="K273" s="213">
        <f>30*0.48</f>
        <v>14.399999999999999</v>
      </c>
      <c r="L273" s="218">
        <v>0</v>
      </c>
      <c r="M273" s="211">
        <f t="shared" si="146"/>
        <v>0</v>
      </c>
      <c r="N273" s="211">
        <f t="shared" si="147"/>
        <v>14.399999999999999</v>
      </c>
      <c r="O273" s="211">
        <f t="shared" si="148"/>
        <v>-0.60000000000000142</v>
      </c>
      <c r="P273" s="211">
        <f t="shared" si="149"/>
        <v>0.60000000000000142</v>
      </c>
      <c r="Q273" s="214">
        <f t="shared" si="150"/>
        <v>4.1666666666666768E-2</v>
      </c>
      <c r="R273" s="220" t="s">
        <v>500</v>
      </c>
      <c r="S273" s="35"/>
    </row>
    <row r="274" spans="1:19" ht="17" customHeight="1" thickBot="1">
      <c r="A274" s="233" t="s">
        <v>492</v>
      </c>
      <c r="B274" s="234"/>
      <c r="C274" s="215">
        <f>25*1.94</f>
        <v>48.5</v>
      </c>
      <c r="D274" s="215">
        <v>0</v>
      </c>
      <c r="E274" s="38"/>
      <c r="F274" s="23">
        <v>43</v>
      </c>
      <c r="G274" s="27">
        <f t="shared" si="140"/>
        <v>48.5</v>
      </c>
      <c r="H274" s="28">
        <f t="shared" si="141"/>
        <v>0.1134020618556701</v>
      </c>
      <c r="I274" s="208">
        <f t="shared" si="142"/>
        <v>0</v>
      </c>
      <c r="J274" s="208">
        <f t="shared" si="143"/>
        <v>0</v>
      </c>
      <c r="K274" s="216">
        <f>1.67*25</f>
        <v>41.75</v>
      </c>
      <c r="L274" s="215">
        <v>0</v>
      </c>
      <c r="M274" s="207">
        <f t="shared" si="146"/>
        <v>0.13917525773195877</v>
      </c>
      <c r="N274" s="207">
        <f t="shared" si="147"/>
        <v>41.75</v>
      </c>
      <c r="O274" s="207">
        <f t="shared" si="148"/>
        <v>5.5</v>
      </c>
      <c r="P274" s="207">
        <f t="shared" si="149"/>
        <v>1.25</v>
      </c>
      <c r="Q274" s="210">
        <f t="shared" si="150"/>
        <v>2.9940119760479042E-2</v>
      </c>
      <c r="R274" s="217" t="s">
        <v>500</v>
      </c>
      <c r="S274" s="31"/>
    </row>
    <row r="275" spans="1:19" ht="17" thickBot="1">
      <c r="A275" s="235" t="s">
        <v>493</v>
      </c>
      <c r="B275" s="236"/>
      <c r="C275" s="211">
        <f>1.04*25</f>
        <v>26</v>
      </c>
      <c r="D275" s="218">
        <v>0</v>
      </c>
      <c r="E275" s="38"/>
      <c r="F275" s="23">
        <v>23</v>
      </c>
      <c r="G275" s="27">
        <f t="shared" si="140"/>
        <v>26</v>
      </c>
      <c r="H275" s="28">
        <f t="shared" si="141"/>
        <v>0.11538461538461539</v>
      </c>
      <c r="I275" s="212">
        <f t="shared" si="142"/>
        <v>0</v>
      </c>
      <c r="J275" s="212">
        <f t="shared" si="143"/>
        <v>0</v>
      </c>
      <c r="K275" s="213">
        <f>25*0.9</f>
        <v>22.5</v>
      </c>
      <c r="L275" s="218">
        <v>0</v>
      </c>
      <c r="M275" s="211">
        <f t="shared" si="146"/>
        <v>0.13461538461538461</v>
      </c>
      <c r="N275" s="211">
        <f t="shared" si="147"/>
        <v>22.5</v>
      </c>
      <c r="O275" s="211">
        <f t="shared" si="148"/>
        <v>3</v>
      </c>
      <c r="P275" s="211">
        <f t="shared" si="149"/>
        <v>0.5</v>
      </c>
      <c r="Q275" s="214">
        <f t="shared" si="150"/>
        <v>2.2222222222222223E-2</v>
      </c>
      <c r="R275" s="220" t="s">
        <v>500</v>
      </c>
      <c r="S275" s="35"/>
    </row>
    <row r="276" spans="1:19" ht="17" thickBot="1">
      <c r="A276" s="233" t="s">
        <v>494</v>
      </c>
      <c r="B276" s="234"/>
      <c r="C276" s="215">
        <f>2.43*15</f>
        <v>36.450000000000003</v>
      </c>
      <c r="D276" s="215">
        <v>0</v>
      </c>
      <c r="E276" s="38"/>
      <c r="F276" s="23">
        <f>(N276*1.02)</f>
        <v>30.906000000000002</v>
      </c>
      <c r="G276" s="27">
        <f t="shared" si="140"/>
        <v>36.450000000000003</v>
      </c>
      <c r="H276" s="28">
        <f t="shared" si="141"/>
        <v>0.15209876543209877</v>
      </c>
      <c r="I276" s="208">
        <f t="shared" si="142"/>
        <v>0</v>
      </c>
      <c r="J276" s="208">
        <f t="shared" si="143"/>
        <v>0</v>
      </c>
      <c r="K276" s="216">
        <f>2.02*15</f>
        <v>30.3</v>
      </c>
      <c r="L276" s="215">
        <v>0</v>
      </c>
      <c r="M276" s="207">
        <f t="shared" si="146"/>
        <v>0.16872427983539098</v>
      </c>
      <c r="N276" s="207">
        <f t="shared" si="147"/>
        <v>30.3</v>
      </c>
      <c r="O276" s="207">
        <f t="shared" si="148"/>
        <v>5.5440000000000005</v>
      </c>
      <c r="P276" s="207">
        <f t="shared" si="149"/>
        <v>0.60600000000000165</v>
      </c>
      <c r="Q276" s="210">
        <f t="shared" si="150"/>
        <v>2.0000000000000052E-2</v>
      </c>
      <c r="R276" s="217" t="s">
        <v>500</v>
      </c>
      <c r="S276" s="31"/>
    </row>
    <row r="277" spans="1:19" ht="17" thickBot="1">
      <c r="A277" s="235" t="s">
        <v>495</v>
      </c>
      <c r="B277" s="236"/>
      <c r="C277" s="211">
        <f>15*1.52</f>
        <v>22.8</v>
      </c>
      <c r="D277" s="218">
        <v>0</v>
      </c>
      <c r="E277" s="38"/>
      <c r="F277" s="23">
        <f t="shared" ref="F277:F278" si="151">(N277*1.03)</f>
        <v>18.385499999999997</v>
      </c>
      <c r="G277" s="27">
        <f t="shared" si="140"/>
        <v>22.8</v>
      </c>
      <c r="H277" s="28">
        <f t="shared" si="141"/>
        <v>0.19361842105263175</v>
      </c>
      <c r="I277" s="212">
        <f t="shared" si="142"/>
        <v>0</v>
      </c>
      <c r="J277" s="212">
        <f t="shared" si="143"/>
        <v>0</v>
      </c>
      <c r="K277" s="219">
        <f>15*1.19</f>
        <v>17.849999999999998</v>
      </c>
      <c r="L277" s="218">
        <v>0</v>
      </c>
      <c r="M277" s="211">
        <f t="shared" si="146"/>
        <v>0.21710526315789486</v>
      </c>
      <c r="N277" s="211">
        <f t="shared" si="147"/>
        <v>17.849999999999998</v>
      </c>
      <c r="O277" s="211">
        <f t="shared" si="148"/>
        <v>4.4145000000000039</v>
      </c>
      <c r="P277" s="211">
        <f t="shared" si="149"/>
        <v>0.53549999999999898</v>
      </c>
      <c r="Q277" s="214">
        <f t="shared" si="150"/>
        <v>2.9999999999999947E-2</v>
      </c>
      <c r="R277" s="220" t="s">
        <v>500</v>
      </c>
      <c r="S277" s="35"/>
    </row>
    <row r="278" spans="1:19" ht="17" thickBot="1">
      <c r="A278" s="233" t="s">
        <v>496</v>
      </c>
      <c r="B278" s="234"/>
      <c r="C278" s="207">
        <f>15*3.77</f>
        <v>56.55</v>
      </c>
      <c r="D278" s="215">
        <v>0</v>
      </c>
      <c r="E278" s="38"/>
      <c r="F278" s="23">
        <f t="shared" si="151"/>
        <v>51.139499999999998</v>
      </c>
      <c r="G278" s="27">
        <f t="shared" si="140"/>
        <v>56.55</v>
      </c>
      <c r="H278" s="28">
        <f t="shared" si="141"/>
        <v>9.5676392572944288E-2</v>
      </c>
      <c r="I278" s="208">
        <f t="shared" si="142"/>
        <v>0</v>
      </c>
      <c r="J278" s="208">
        <f t="shared" si="143"/>
        <v>0</v>
      </c>
      <c r="K278" s="209">
        <f>15*3.31</f>
        <v>49.65</v>
      </c>
      <c r="L278" s="215">
        <v>0</v>
      </c>
      <c r="M278" s="207">
        <f t="shared" si="146"/>
        <v>0.12201591511936338</v>
      </c>
      <c r="N278" s="207">
        <f t="shared" si="147"/>
        <v>49.65</v>
      </c>
      <c r="O278" s="207">
        <f t="shared" si="148"/>
        <v>5.410499999999999</v>
      </c>
      <c r="P278" s="207">
        <f t="shared" si="149"/>
        <v>1.4894999999999996</v>
      </c>
      <c r="Q278" s="210">
        <f t="shared" si="150"/>
        <v>2.9999999999999992E-2</v>
      </c>
      <c r="R278" s="217" t="s">
        <v>500</v>
      </c>
      <c r="S278" s="31"/>
    </row>
    <row r="279" spans="1:19" ht="17" thickBot="1">
      <c r="A279" s="235" t="s">
        <v>497</v>
      </c>
      <c r="B279" s="236"/>
      <c r="C279" s="218">
        <f>2.9*15</f>
        <v>43.5</v>
      </c>
      <c r="D279" s="218">
        <v>0</v>
      </c>
      <c r="E279" s="38"/>
      <c r="F279" s="23">
        <f>(N279*1.02)</f>
        <v>38.708999999999996</v>
      </c>
      <c r="G279" s="27">
        <f t="shared" si="140"/>
        <v>43.5</v>
      </c>
      <c r="H279" s="28">
        <f t="shared" si="141"/>
        <v>0.11013793103448286</v>
      </c>
      <c r="I279" s="212">
        <f t="shared" si="142"/>
        <v>0</v>
      </c>
      <c r="J279" s="212">
        <f t="shared" si="143"/>
        <v>0</v>
      </c>
      <c r="K279" s="219">
        <f>2.53*15</f>
        <v>37.949999999999996</v>
      </c>
      <c r="L279" s="218">
        <v>0</v>
      </c>
      <c r="M279" s="211">
        <f t="shared" si="146"/>
        <v>0.12758620689655181</v>
      </c>
      <c r="N279" s="211">
        <f t="shared" si="147"/>
        <v>37.949999999999996</v>
      </c>
      <c r="O279" s="211">
        <f t="shared" si="148"/>
        <v>4.7910000000000039</v>
      </c>
      <c r="P279" s="211">
        <f t="shared" si="149"/>
        <v>0.75900000000000034</v>
      </c>
      <c r="Q279" s="214">
        <f t="shared" si="150"/>
        <v>2.0000000000000011E-2</v>
      </c>
      <c r="R279" s="220" t="s">
        <v>500</v>
      </c>
      <c r="S279" s="35"/>
    </row>
    <row r="280" spans="1:19" ht="17" customHeight="1" thickBot="1">
      <c r="A280" s="233" t="s">
        <v>498</v>
      </c>
      <c r="B280" s="234"/>
      <c r="C280" s="215">
        <v>89</v>
      </c>
      <c r="D280" s="215">
        <v>0</v>
      </c>
      <c r="E280" s="38"/>
      <c r="F280" s="23">
        <v>82</v>
      </c>
      <c r="G280" s="27">
        <f t="shared" si="140"/>
        <v>89</v>
      </c>
      <c r="H280" s="28">
        <f t="shared" si="141"/>
        <v>7.8651685393258425E-2</v>
      </c>
      <c r="I280" s="208">
        <f t="shared" si="142"/>
        <v>0</v>
      </c>
      <c r="J280" s="208">
        <f t="shared" si="143"/>
        <v>0</v>
      </c>
      <c r="K280" s="216">
        <v>78.7</v>
      </c>
      <c r="L280" s="215">
        <v>0</v>
      </c>
      <c r="M280" s="207">
        <f t="shared" si="146"/>
        <v>0.11573033707865166</v>
      </c>
      <c r="N280" s="207">
        <f t="shared" si="147"/>
        <v>78.7</v>
      </c>
      <c r="O280" s="207">
        <f t="shared" si="148"/>
        <v>7</v>
      </c>
      <c r="P280" s="207">
        <f t="shared" si="149"/>
        <v>3.2999999999999972</v>
      </c>
      <c r="Q280" s="210">
        <f t="shared" si="150"/>
        <v>4.1931385006353204E-2</v>
      </c>
      <c r="R280" s="217" t="s">
        <v>500</v>
      </c>
      <c r="S280" s="31"/>
    </row>
    <row r="281" spans="1:19" ht="17" customHeight="1" thickBot="1">
      <c r="A281" s="235" t="s">
        <v>499</v>
      </c>
      <c r="B281" s="236"/>
      <c r="C281" s="218">
        <v>64</v>
      </c>
      <c r="D281" s="218">
        <v>0</v>
      </c>
      <c r="E281" s="38"/>
      <c r="F281" s="55">
        <v>62.25</v>
      </c>
      <c r="G281" s="27">
        <f t="shared" si="140"/>
        <v>64</v>
      </c>
      <c r="H281" s="28">
        <f t="shared" si="141"/>
        <v>2.734375E-2</v>
      </c>
      <c r="I281" s="212">
        <f t="shared" si="142"/>
        <v>0</v>
      </c>
      <c r="J281" s="212">
        <f t="shared" si="143"/>
        <v>0</v>
      </c>
      <c r="K281" s="219">
        <v>60.3</v>
      </c>
      <c r="L281" s="218">
        <v>0</v>
      </c>
      <c r="M281" s="211">
        <f t="shared" si="146"/>
        <v>5.7812500000000044E-2</v>
      </c>
      <c r="N281" s="211">
        <f t="shared" si="147"/>
        <v>60.3</v>
      </c>
      <c r="O281" s="211">
        <f t="shared" si="148"/>
        <v>1.75</v>
      </c>
      <c r="P281" s="211">
        <f t="shared" si="149"/>
        <v>1.9500000000000028</v>
      </c>
      <c r="Q281" s="214">
        <f t="shared" si="150"/>
        <v>3.233830845771149E-2</v>
      </c>
      <c r="R281" s="220" t="s">
        <v>500</v>
      </c>
      <c r="S281" s="35"/>
    </row>
    <row r="282" spans="1:19" ht="17" customHeight="1" thickBot="1">
      <c r="A282" s="238" t="s">
        <v>502</v>
      </c>
      <c r="B282" s="237"/>
      <c r="C282" s="46"/>
      <c r="D282" s="46"/>
      <c r="E282" s="22"/>
      <c r="F282" s="23"/>
      <c r="G282" s="24"/>
      <c r="H282" s="28"/>
      <c r="I282" s="230"/>
      <c r="J282" s="237"/>
      <c r="K282" s="206"/>
      <c r="L282" s="166"/>
      <c r="M282" s="46"/>
      <c r="N282" s="46"/>
      <c r="O282" s="46"/>
      <c r="P282" s="46"/>
      <c r="Q282" s="47"/>
      <c r="R282" s="46"/>
      <c r="S282" s="48"/>
    </row>
    <row r="283" spans="1:19" ht="17" customHeight="1" thickBot="1">
      <c r="A283" s="235" t="s">
        <v>503</v>
      </c>
      <c r="B283" s="236"/>
      <c r="C283" s="218">
        <f t="shared" ref="C283:C285" si="152">4.75*10</f>
        <v>47.5</v>
      </c>
      <c r="D283" s="218">
        <v>0</v>
      </c>
      <c r="E283" s="38"/>
      <c r="F283" s="23">
        <v>41</v>
      </c>
      <c r="G283" s="27">
        <f t="shared" ref="G283:G293" si="153">C283+D283</f>
        <v>47.5</v>
      </c>
      <c r="H283" s="28">
        <f t="shared" ref="H283:H293" si="154">(G283-F283)/G283</f>
        <v>0.1368421052631579</v>
      </c>
      <c r="I283" s="212">
        <f t="shared" ref="I283:I294" si="155">F283*E283</f>
        <v>0</v>
      </c>
      <c r="J283" s="212">
        <f t="shared" ref="J283:J293" si="156">(G283-F283)*E283</f>
        <v>0</v>
      </c>
      <c r="K283" s="219">
        <f t="shared" ref="K283:K285" si="157">3.85*10</f>
        <v>38.5</v>
      </c>
      <c r="L283" s="218">
        <v>0</v>
      </c>
      <c r="M283" s="211">
        <f t="shared" ref="M283:M293" si="158">(G283-K283)/G283</f>
        <v>0.18947368421052632</v>
      </c>
      <c r="N283" s="211">
        <f t="shared" ref="N283:N294" si="159">K283+L283</f>
        <v>38.5</v>
      </c>
      <c r="O283" s="211">
        <f t="shared" ref="O283:O293" si="160">G283-F283</f>
        <v>6.5</v>
      </c>
      <c r="P283" s="211">
        <f t="shared" ref="P283:P294" si="161">F283-N283</f>
        <v>2.5</v>
      </c>
      <c r="Q283" s="214">
        <f t="shared" ref="Q283:Q294" si="162">P283/N283</f>
        <v>6.4935064935064929E-2</v>
      </c>
      <c r="R283" s="34" t="s">
        <v>500</v>
      </c>
      <c r="S283" s="35"/>
    </row>
    <row r="284" spans="1:19" ht="17" customHeight="1" thickBot="1">
      <c r="A284" s="233" t="s">
        <v>504</v>
      </c>
      <c r="B284" s="234"/>
      <c r="C284" s="215">
        <f t="shared" si="152"/>
        <v>47.5</v>
      </c>
      <c r="D284" s="215">
        <v>0</v>
      </c>
      <c r="E284" s="38"/>
      <c r="F284" s="23">
        <v>41</v>
      </c>
      <c r="G284" s="27">
        <f t="shared" si="153"/>
        <v>47.5</v>
      </c>
      <c r="H284" s="28">
        <f t="shared" si="154"/>
        <v>0.1368421052631579</v>
      </c>
      <c r="I284" s="208">
        <f t="shared" si="155"/>
        <v>0</v>
      </c>
      <c r="J284" s="208">
        <f t="shared" si="156"/>
        <v>0</v>
      </c>
      <c r="K284" s="216">
        <f t="shared" si="157"/>
        <v>38.5</v>
      </c>
      <c r="L284" s="215">
        <v>0</v>
      </c>
      <c r="M284" s="207">
        <f t="shared" si="158"/>
        <v>0.18947368421052632</v>
      </c>
      <c r="N284" s="207">
        <f t="shared" si="159"/>
        <v>38.5</v>
      </c>
      <c r="O284" s="207">
        <f t="shared" si="160"/>
        <v>6.5</v>
      </c>
      <c r="P284" s="207">
        <f t="shared" si="161"/>
        <v>2.5</v>
      </c>
      <c r="Q284" s="210">
        <f t="shared" si="162"/>
        <v>6.4935064935064929E-2</v>
      </c>
      <c r="R284" s="30" t="s">
        <v>500</v>
      </c>
      <c r="S284" s="31"/>
    </row>
    <row r="285" spans="1:19" ht="17" customHeight="1" thickBot="1">
      <c r="A285" s="235" t="s">
        <v>505</v>
      </c>
      <c r="B285" s="236"/>
      <c r="C285" s="218">
        <f t="shared" si="152"/>
        <v>47.5</v>
      </c>
      <c r="D285" s="218">
        <v>0</v>
      </c>
      <c r="E285" s="38"/>
      <c r="F285" s="23">
        <v>41</v>
      </c>
      <c r="G285" s="27">
        <f t="shared" si="153"/>
        <v>47.5</v>
      </c>
      <c r="H285" s="28">
        <f t="shared" si="154"/>
        <v>0.1368421052631579</v>
      </c>
      <c r="I285" s="212">
        <f t="shared" si="155"/>
        <v>0</v>
      </c>
      <c r="J285" s="212">
        <f t="shared" si="156"/>
        <v>0</v>
      </c>
      <c r="K285" s="219">
        <f t="shared" si="157"/>
        <v>38.5</v>
      </c>
      <c r="L285" s="218">
        <v>0</v>
      </c>
      <c r="M285" s="211">
        <f t="shared" si="158"/>
        <v>0.18947368421052632</v>
      </c>
      <c r="N285" s="211">
        <f t="shared" si="159"/>
        <v>38.5</v>
      </c>
      <c r="O285" s="211">
        <f t="shared" si="160"/>
        <v>6.5</v>
      </c>
      <c r="P285" s="211">
        <f t="shared" si="161"/>
        <v>2.5</v>
      </c>
      <c r="Q285" s="214">
        <f t="shared" si="162"/>
        <v>6.4935064935064929E-2</v>
      </c>
      <c r="R285" s="34" t="s">
        <v>500</v>
      </c>
      <c r="S285" s="35"/>
    </row>
    <row r="286" spans="1:19" ht="17" customHeight="1" thickBot="1">
      <c r="A286" s="233" t="s">
        <v>451</v>
      </c>
      <c r="B286" s="234"/>
      <c r="C286" s="215">
        <v>62.5</v>
      </c>
      <c r="D286" s="215">
        <v>0</v>
      </c>
      <c r="E286" s="38"/>
      <c r="F286" s="23">
        <v>57</v>
      </c>
      <c r="G286" s="27">
        <f t="shared" si="153"/>
        <v>62.5</v>
      </c>
      <c r="H286" s="28">
        <f t="shared" si="154"/>
        <v>8.7999999999999995E-2</v>
      </c>
      <c r="I286" s="208">
        <f t="shared" si="155"/>
        <v>0</v>
      </c>
      <c r="J286" s="208">
        <f t="shared" si="156"/>
        <v>0</v>
      </c>
      <c r="K286" s="216">
        <v>55.06</v>
      </c>
      <c r="L286" s="215">
        <v>0</v>
      </c>
      <c r="M286" s="207">
        <f t="shared" si="158"/>
        <v>0.11903999999999997</v>
      </c>
      <c r="N286" s="207">
        <f t="shared" si="159"/>
        <v>55.06</v>
      </c>
      <c r="O286" s="207">
        <f t="shared" si="160"/>
        <v>5.5</v>
      </c>
      <c r="P286" s="207">
        <f t="shared" si="161"/>
        <v>1.9399999999999977</v>
      </c>
      <c r="Q286" s="210">
        <f t="shared" si="162"/>
        <v>3.5234289865601121E-2</v>
      </c>
      <c r="R286" s="30" t="s">
        <v>500</v>
      </c>
      <c r="S286" s="31"/>
    </row>
    <row r="287" spans="1:19" ht="17" thickBot="1">
      <c r="A287" s="235" t="s">
        <v>452</v>
      </c>
      <c r="B287" s="236"/>
      <c r="C287" s="211">
        <f>56.36*4</f>
        <v>225.44</v>
      </c>
      <c r="D287" s="218">
        <v>0</v>
      </c>
      <c r="E287" s="38"/>
      <c r="F287" s="23">
        <v>214</v>
      </c>
      <c r="G287" s="27">
        <f t="shared" si="153"/>
        <v>225.44</v>
      </c>
      <c r="H287" s="28">
        <f t="shared" si="154"/>
        <v>5.0745209368346332E-2</v>
      </c>
      <c r="I287" s="212">
        <f t="shared" si="155"/>
        <v>0</v>
      </c>
      <c r="J287" s="212">
        <f t="shared" si="156"/>
        <v>0</v>
      </c>
      <c r="K287" s="213">
        <f>52.01*4</f>
        <v>208.04</v>
      </c>
      <c r="L287" s="218">
        <v>0</v>
      </c>
      <c r="M287" s="211">
        <f t="shared" si="158"/>
        <v>7.7182398864442892E-2</v>
      </c>
      <c r="N287" s="211">
        <f t="shared" si="159"/>
        <v>208.04</v>
      </c>
      <c r="O287" s="211">
        <f t="shared" si="160"/>
        <v>11.439999999999998</v>
      </c>
      <c r="P287" s="211">
        <f t="shared" si="161"/>
        <v>5.960000000000008</v>
      </c>
      <c r="Q287" s="214">
        <f t="shared" si="162"/>
        <v>2.8648336858296521E-2</v>
      </c>
      <c r="R287" s="34" t="s">
        <v>500</v>
      </c>
      <c r="S287" s="35"/>
    </row>
    <row r="288" spans="1:19" ht="17" customHeight="1" thickBot="1">
      <c r="A288" s="233" t="s">
        <v>453</v>
      </c>
      <c r="B288" s="234"/>
      <c r="C288" s="215">
        <v>21</v>
      </c>
      <c r="D288" s="215">
        <v>7.23</v>
      </c>
      <c r="E288" s="38"/>
      <c r="F288" s="23">
        <v>15</v>
      </c>
      <c r="G288" s="27">
        <f t="shared" si="153"/>
        <v>28.23</v>
      </c>
      <c r="H288" s="28">
        <f t="shared" si="154"/>
        <v>0.46865037194473963</v>
      </c>
      <c r="I288" s="208">
        <f t="shared" si="155"/>
        <v>0</v>
      </c>
      <c r="J288" s="208">
        <f t="shared" si="156"/>
        <v>0</v>
      </c>
      <c r="K288" s="216">
        <v>13.8</v>
      </c>
      <c r="L288" s="215">
        <v>0</v>
      </c>
      <c r="M288" s="207">
        <f t="shared" si="158"/>
        <v>0.51115834218916045</v>
      </c>
      <c r="N288" s="207">
        <f t="shared" si="159"/>
        <v>13.8</v>
      </c>
      <c r="O288" s="207">
        <f t="shared" si="160"/>
        <v>13.23</v>
      </c>
      <c r="P288" s="207">
        <f t="shared" si="161"/>
        <v>1.1999999999999993</v>
      </c>
      <c r="Q288" s="210">
        <f t="shared" si="162"/>
        <v>8.6956521739130377E-2</v>
      </c>
      <c r="R288" s="30" t="s">
        <v>500</v>
      </c>
      <c r="S288" s="31"/>
    </row>
    <row r="289" spans="1:19" ht="17" customHeight="1" thickBot="1">
      <c r="A289" s="235" t="s">
        <v>454</v>
      </c>
      <c r="B289" s="236"/>
      <c r="C289" s="218">
        <v>36</v>
      </c>
      <c r="D289" s="218">
        <v>7.23</v>
      </c>
      <c r="E289" s="38"/>
      <c r="F289" s="23">
        <v>25</v>
      </c>
      <c r="G289" s="27">
        <f t="shared" si="153"/>
        <v>43.230000000000004</v>
      </c>
      <c r="H289" s="28">
        <f t="shared" si="154"/>
        <v>0.42169789498033777</v>
      </c>
      <c r="I289" s="212">
        <f t="shared" si="155"/>
        <v>0</v>
      </c>
      <c r="J289" s="212">
        <f t="shared" si="156"/>
        <v>0</v>
      </c>
      <c r="K289" s="219">
        <v>24.24</v>
      </c>
      <c r="L289" s="218">
        <v>0</v>
      </c>
      <c r="M289" s="211">
        <f t="shared" si="158"/>
        <v>0.43927827897293553</v>
      </c>
      <c r="N289" s="211">
        <f t="shared" si="159"/>
        <v>24.24</v>
      </c>
      <c r="O289" s="211">
        <f t="shared" si="160"/>
        <v>18.230000000000004</v>
      </c>
      <c r="P289" s="211">
        <f t="shared" si="161"/>
        <v>0.76000000000000156</v>
      </c>
      <c r="Q289" s="214">
        <f t="shared" si="162"/>
        <v>3.135313531353142E-2</v>
      </c>
      <c r="R289" s="34" t="s">
        <v>500</v>
      </c>
      <c r="S289" s="35"/>
    </row>
    <row r="290" spans="1:19" ht="17" customHeight="1" thickBot="1">
      <c r="A290" s="233" t="s">
        <v>456</v>
      </c>
      <c r="B290" s="234"/>
      <c r="C290" s="215">
        <v>46</v>
      </c>
      <c r="D290" s="215">
        <v>7.23</v>
      </c>
      <c r="E290" s="38"/>
      <c r="F290" s="23">
        <v>42</v>
      </c>
      <c r="G290" s="27">
        <f t="shared" si="153"/>
        <v>53.230000000000004</v>
      </c>
      <c r="H290" s="28">
        <f t="shared" si="154"/>
        <v>0.21097125681006956</v>
      </c>
      <c r="I290" s="208">
        <f t="shared" si="155"/>
        <v>0</v>
      </c>
      <c r="J290" s="208">
        <f t="shared" si="156"/>
        <v>0</v>
      </c>
      <c r="K290" s="216">
        <v>40.35</v>
      </c>
      <c r="L290" s="215">
        <v>0</v>
      </c>
      <c r="M290" s="207">
        <f t="shared" si="158"/>
        <v>0.24196881457824537</v>
      </c>
      <c r="N290" s="207">
        <f t="shared" si="159"/>
        <v>40.35</v>
      </c>
      <c r="O290" s="207">
        <f t="shared" si="160"/>
        <v>11.230000000000004</v>
      </c>
      <c r="P290" s="207">
        <f t="shared" si="161"/>
        <v>1.6499999999999986</v>
      </c>
      <c r="Q290" s="210">
        <f t="shared" si="162"/>
        <v>4.0892193308550151E-2</v>
      </c>
      <c r="R290" s="30" t="s">
        <v>500</v>
      </c>
      <c r="S290" s="31"/>
    </row>
    <row r="291" spans="1:19" ht="17" thickBot="1">
      <c r="A291" s="235" t="s">
        <v>455</v>
      </c>
      <c r="B291" s="236"/>
      <c r="C291" s="218">
        <v>48</v>
      </c>
      <c r="D291" s="218">
        <v>10.06</v>
      </c>
      <c r="E291" s="38"/>
      <c r="F291" s="23">
        <v>57</v>
      </c>
      <c r="G291" s="27">
        <f t="shared" si="153"/>
        <v>58.06</v>
      </c>
      <c r="H291" s="28">
        <f t="shared" si="154"/>
        <v>1.8256975542542235E-2</v>
      </c>
      <c r="I291" s="212">
        <f t="shared" si="155"/>
        <v>0</v>
      </c>
      <c r="J291" s="212">
        <f t="shared" si="156"/>
        <v>0</v>
      </c>
      <c r="K291" s="219">
        <v>55.78</v>
      </c>
      <c r="L291" s="218">
        <v>0</v>
      </c>
      <c r="M291" s="211">
        <f t="shared" si="158"/>
        <v>3.9269720978298332E-2</v>
      </c>
      <c r="N291" s="211">
        <f t="shared" si="159"/>
        <v>55.78</v>
      </c>
      <c r="O291" s="211">
        <f t="shared" si="160"/>
        <v>1.0600000000000023</v>
      </c>
      <c r="P291" s="211">
        <f t="shared" si="161"/>
        <v>1.2199999999999989</v>
      </c>
      <c r="Q291" s="214">
        <f t="shared" si="162"/>
        <v>2.187163858013623E-2</v>
      </c>
      <c r="R291" s="34" t="s">
        <v>500</v>
      </c>
      <c r="S291" s="35"/>
    </row>
    <row r="292" spans="1:19" s="165" customFormat="1" ht="17" thickBot="1">
      <c r="A292" s="233" t="s">
        <v>506</v>
      </c>
      <c r="B292" s="234"/>
      <c r="C292" s="207">
        <f>12*4.1</f>
        <v>49.199999999999996</v>
      </c>
      <c r="D292" s="215">
        <v>0</v>
      </c>
      <c r="E292" s="38"/>
      <c r="F292" s="23">
        <v>23</v>
      </c>
      <c r="G292" s="27">
        <f t="shared" si="153"/>
        <v>49.199999999999996</v>
      </c>
      <c r="H292" s="28">
        <f t="shared" si="154"/>
        <v>0.53252032520325199</v>
      </c>
      <c r="I292" s="208">
        <f t="shared" si="155"/>
        <v>0</v>
      </c>
      <c r="J292" s="208">
        <f t="shared" si="156"/>
        <v>0</v>
      </c>
      <c r="K292" s="216">
        <f>63.9/3</f>
        <v>21.3</v>
      </c>
      <c r="L292" s="215">
        <v>0</v>
      </c>
      <c r="M292" s="207">
        <f t="shared" si="158"/>
        <v>0.56707317073170727</v>
      </c>
      <c r="N292" s="207">
        <f t="shared" si="159"/>
        <v>21.3</v>
      </c>
      <c r="O292" s="207">
        <f t="shared" si="160"/>
        <v>26.199999999999996</v>
      </c>
      <c r="P292" s="207">
        <f t="shared" si="161"/>
        <v>1.6999999999999993</v>
      </c>
      <c r="Q292" s="210">
        <f t="shared" si="162"/>
        <v>7.9812206572769911E-2</v>
      </c>
      <c r="R292" s="30" t="s">
        <v>500</v>
      </c>
      <c r="S292" s="31"/>
    </row>
    <row r="293" spans="1:19" s="165" customFormat="1" ht="17" thickBot="1">
      <c r="A293" s="235" t="s">
        <v>507</v>
      </c>
      <c r="B293" s="236"/>
      <c r="C293" s="211">
        <f>3.35*12</f>
        <v>40.200000000000003</v>
      </c>
      <c r="D293" s="218">
        <v>17</v>
      </c>
      <c r="E293" s="38"/>
      <c r="F293" s="23">
        <v>41</v>
      </c>
      <c r="G293" s="27">
        <f t="shared" si="153"/>
        <v>57.2</v>
      </c>
      <c r="H293" s="28">
        <f t="shared" si="154"/>
        <v>0.28321678321678323</v>
      </c>
      <c r="I293" s="212">
        <f t="shared" si="155"/>
        <v>0</v>
      </c>
      <c r="J293" s="212">
        <f t="shared" si="156"/>
        <v>0</v>
      </c>
      <c r="K293" s="219">
        <f>79/2</f>
        <v>39.5</v>
      </c>
      <c r="L293" s="218">
        <v>0</v>
      </c>
      <c r="M293" s="211">
        <f t="shared" si="158"/>
        <v>0.30944055944055948</v>
      </c>
      <c r="N293" s="211">
        <f t="shared" si="159"/>
        <v>39.5</v>
      </c>
      <c r="O293" s="211">
        <f t="shared" si="160"/>
        <v>16.200000000000003</v>
      </c>
      <c r="P293" s="211">
        <f t="shared" si="161"/>
        <v>1.5</v>
      </c>
      <c r="Q293" s="214">
        <f t="shared" si="162"/>
        <v>3.7974683544303799E-2</v>
      </c>
      <c r="R293" s="34" t="s">
        <v>500</v>
      </c>
      <c r="S293" s="35"/>
    </row>
    <row r="294" spans="1:19" ht="17" thickBot="1">
      <c r="A294" s="233" t="s">
        <v>458</v>
      </c>
      <c r="B294" s="234"/>
      <c r="C294" s="207"/>
      <c r="D294" s="207"/>
      <c r="E294" s="38"/>
      <c r="F294" s="23">
        <v>13</v>
      </c>
      <c r="G294" s="27"/>
      <c r="H294" s="28"/>
      <c r="I294" s="208">
        <f t="shared" si="155"/>
        <v>0</v>
      </c>
      <c r="J294" s="208"/>
      <c r="K294" s="216">
        <v>11.69</v>
      </c>
      <c r="L294" s="215">
        <v>0</v>
      </c>
      <c r="M294" s="207"/>
      <c r="N294" s="207">
        <f t="shared" si="159"/>
        <v>11.69</v>
      </c>
      <c r="O294" s="207"/>
      <c r="P294" s="207">
        <f t="shared" si="161"/>
        <v>1.3100000000000005</v>
      </c>
      <c r="Q294" s="210">
        <f t="shared" si="162"/>
        <v>0.11206159110350732</v>
      </c>
      <c r="R294" s="30" t="s">
        <v>500</v>
      </c>
      <c r="S294" s="31"/>
    </row>
    <row r="295" spans="1:19" ht="17" thickBot="1">
      <c r="A295" s="238" t="s">
        <v>387</v>
      </c>
      <c r="B295" s="232"/>
      <c r="C295" s="46"/>
      <c r="D295" s="46"/>
      <c r="E295" s="22"/>
      <c r="F295" s="23"/>
      <c r="G295" s="24"/>
      <c r="H295" s="28"/>
      <c r="I295" s="230"/>
      <c r="J295" s="231"/>
      <c r="K295" s="155"/>
      <c r="L295" s="154"/>
      <c r="M295" s="46"/>
      <c r="N295" s="46"/>
      <c r="O295" s="46"/>
      <c r="P295" s="46"/>
      <c r="Q295" s="47"/>
      <c r="R295" s="46"/>
      <c r="S295" s="48"/>
    </row>
    <row r="296" spans="1:19" ht="35" customHeight="1" thickBot="1">
      <c r="A296" s="242" t="s">
        <v>388</v>
      </c>
      <c r="B296" s="228"/>
      <c r="C296" s="25"/>
      <c r="D296" s="25"/>
      <c r="E296" s="26"/>
      <c r="F296" s="23"/>
      <c r="G296" s="27"/>
      <c r="H296" s="28"/>
      <c r="I296" s="25"/>
      <c r="J296" s="25"/>
      <c r="K296" s="25"/>
      <c r="L296" s="25"/>
      <c r="M296" s="25"/>
      <c r="N296" s="25"/>
      <c r="O296" s="25"/>
      <c r="P296" s="25"/>
      <c r="Q296" s="29"/>
      <c r="R296" s="25"/>
      <c r="S296" s="97"/>
    </row>
    <row r="297" spans="1:19" ht="17" thickBot="1">
      <c r="A297" s="227" t="s">
        <v>389</v>
      </c>
      <c r="B297" s="228"/>
      <c r="C297" s="32">
        <v>170</v>
      </c>
      <c r="D297" s="32">
        <f>C297*0.1</f>
        <v>17</v>
      </c>
      <c r="E297" s="26"/>
      <c r="F297" s="23">
        <v>184</v>
      </c>
      <c r="G297" s="27">
        <f>C297+D297</f>
        <v>187</v>
      </c>
      <c r="H297" s="28">
        <f>O297/G297</f>
        <v>1.6042780748663103E-2</v>
      </c>
      <c r="I297" s="44">
        <f>F297*E297</f>
        <v>0</v>
      </c>
      <c r="J297" s="44">
        <f>(G297-F297)*E297</f>
        <v>0</v>
      </c>
      <c r="K297" s="32">
        <v>170</v>
      </c>
      <c r="L297" s="32">
        <f>K297*0.05</f>
        <v>8.5</v>
      </c>
      <c r="M297" s="32">
        <f>(G297-N297)/G297</f>
        <v>4.5454545454545456E-2</v>
      </c>
      <c r="N297" s="32">
        <f>K297+L297</f>
        <v>178.5</v>
      </c>
      <c r="O297" s="32">
        <f>G297-F297</f>
        <v>3</v>
      </c>
      <c r="P297" s="32">
        <f>F297-N297</f>
        <v>5.5</v>
      </c>
      <c r="Q297" s="33">
        <f>P297/N297</f>
        <v>3.081232492997199E-2</v>
      </c>
      <c r="R297" s="34" t="s">
        <v>68</v>
      </c>
      <c r="S297" s="35">
        <v>3088</v>
      </c>
    </row>
    <row r="298" spans="1:19" ht="17" thickBot="1">
      <c r="A298" s="229" t="s">
        <v>390</v>
      </c>
      <c r="B298" s="228"/>
      <c r="C298" s="25">
        <v>10.25</v>
      </c>
      <c r="D298" s="25">
        <f>C298*0.1</f>
        <v>1.0250000000000001</v>
      </c>
      <c r="E298" s="38"/>
      <c r="F298" s="23">
        <v>10</v>
      </c>
      <c r="G298" s="27">
        <f>C298+D298</f>
        <v>11.275</v>
      </c>
      <c r="H298" s="28">
        <f>O298/G298</f>
        <v>0.11308203991130823</v>
      </c>
      <c r="I298" s="45">
        <f>F298*E298</f>
        <v>0</v>
      </c>
      <c r="J298" s="45">
        <f>(G298-F298)*E298</f>
        <v>0</v>
      </c>
      <c r="K298" s="37">
        <f>C298*0.9</f>
        <v>9.2249999999999996</v>
      </c>
      <c r="L298" s="25">
        <f>K298*0.02</f>
        <v>0.1845</v>
      </c>
      <c r="M298" s="25"/>
      <c r="N298" s="25">
        <f>K298+L298</f>
        <v>9.4094999999999995</v>
      </c>
      <c r="O298" s="25">
        <f>G298-F298</f>
        <v>1.2750000000000004</v>
      </c>
      <c r="P298" s="25">
        <f>F298-N298</f>
        <v>0.59050000000000047</v>
      </c>
      <c r="Q298" s="29">
        <f>P298/N298</f>
        <v>6.2755725596471704E-2</v>
      </c>
      <c r="R298" s="30" t="s">
        <v>133</v>
      </c>
      <c r="S298" s="31" t="s">
        <v>391</v>
      </c>
    </row>
    <row r="299" spans="1:19" ht="17" thickBot="1">
      <c r="A299" s="227" t="s">
        <v>392</v>
      </c>
      <c r="B299" s="228"/>
      <c r="C299" s="32">
        <v>10.25</v>
      </c>
      <c r="D299" s="32">
        <f>C299*0.1</f>
        <v>1.0250000000000001</v>
      </c>
      <c r="E299" s="38"/>
      <c r="F299" s="23">
        <v>10</v>
      </c>
      <c r="G299" s="27">
        <f>C299+D299</f>
        <v>11.275</v>
      </c>
      <c r="H299" s="28">
        <f>O299/G299</f>
        <v>0.11308203991130823</v>
      </c>
      <c r="I299" s="44">
        <f>F299*E299</f>
        <v>0</v>
      </c>
      <c r="J299" s="44">
        <f>(G299-F299)*E299</f>
        <v>0</v>
      </c>
      <c r="K299" s="39">
        <f>C299*0.9</f>
        <v>9.2249999999999996</v>
      </c>
      <c r="L299" s="32">
        <f>K299*0.02</f>
        <v>0.1845</v>
      </c>
      <c r="M299" s="32"/>
      <c r="N299" s="32">
        <f>K299+L299</f>
        <v>9.4094999999999995</v>
      </c>
      <c r="O299" s="32">
        <f>G299-F299</f>
        <v>1.2750000000000004</v>
      </c>
      <c r="P299" s="32">
        <f>F299-N299</f>
        <v>0.59050000000000047</v>
      </c>
      <c r="Q299" s="33">
        <f>P299/N299</f>
        <v>6.2755725596471704E-2</v>
      </c>
      <c r="R299" s="34" t="s">
        <v>133</v>
      </c>
      <c r="S299" s="35" t="s">
        <v>393</v>
      </c>
    </row>
    <row r="300" spans="1:19" ht="16">
      <c r="A300" s="229" t="s">
        <v>394</v>
      </c>
      <c r="B300" s="228"/>
      <c r="C300" s="25">
        <v>11.99</v>
      </c>
      <c r="D300" s="25">
        <f>C300*0.1</f>
        <v>1.1990000000000001</v>
      </c>
      <c r="E300" s="149"/>
      <c r="F300" s="23">
        <v>13</v>
      </c>
      <c r="G300" s="27">
        <f>C300+D300</f>
        <v>13.189</v>
      </c>
      <c r="H300" s="28">
        <f>O300/G300</f>
        <v>1.4330123587838355E-2</v>
      </c>
      <c r="I300" s="45">
        <f>F300*E300</f>
        <v>0</v>
      </c>
      <c r="J300" s="45">
        <f>(G300-F300)*E300</f>
        <v>0</v>
      </c>
      <c r="K300" s="25">
        <v>11.5</v>
      </c>
      <c r="L300" s="25">
        <f>K300*0.05</f>
        <v>0.57500000000000007</v>
      </c>
      <c r="M300" s="25">
        <f>(G300-N300)/G300</f>
        <v>8.4464326332549911E-2</v>
      </c>
      <c r="N300" s="25">
        <f>K300+L300</f>
        <v>12.074999999999999</v>
      </c>
      <c r="O300" s="25">
        <f>G300-F300</f>
        <v>0.18900000000000006</v>
      </c>
      <c r="P300" s="25">
        <f>F300-N300</f>
        <v>0.92500000000000071</v>
      </c>
      <c r="Q300" s="29">
        <f>P300/N300</f>
        <v>7.6604554865424487E-2</v>
      </c>
      <c r="R300" s="30" t="s">
        <v>68</v>
      </c>
      <c r="S300" s="31">
        <v>312</v>
      </c>
    </row>
    <row r="301" spans="1:19" ht="92" customHeight="1" thickBot="1">
      <c r="A301" s="280"/>
      <c r="B301" s="280"/>
      <c r="C301" s="280"/>
      <c r="D301" s="280"/>
      <c r="E301" s="280"/>
      <c r="F301" s="280"/>
      <c r="G301" s="280"/>
      <c r="H301" s="280"/>
      <c r="I301" s="280"/>
      <c r="J301" s="280"/>
      <c r="K301" s="280"/>
      <c r="L301" s="280"/>
      <c r="M301" s="280"/>
      <c r="N301" s="280"/>
      <c r="O301" s="280"/>
      <c r="P301" s="280"/>
      <c r="Q301" s="280"/>
      <c r="R301" s="280"/>
      <c r="S301" s="280"/>
    </row>
    <row r="302" spans="1:19" ht="17" thickBot="1">
      <c r="A302" s="227" t="s">
        <v>395</v>
      </c>
      <c r="B302" s="228"/>
      <c r="C302" s="32">
        <v>15.25</v>
      </c>
      <c r="D302" s="32">
        <v>5</v>
      </c>
      <c r="E302" s="26"/>
      <c r="F302" s="23">
        <v>17</v>
      </c>
      <c r="G302" s="27">
        <f>C302+D302</f>
        <v>20.25</v>
      </c>
      <c r="H302" s="170">
        <f>O302/G302</f>
        <v>0.16049382716049382</v>
      </c>
      <c r="I302" s="44">
        <f t="shared" ref="I302:I307" si="163">F302*E302</f>
        <v>0</v>
      </c>
      <c r="J302" s="44">
        <f t="shared" ref="J302:J307" si="164">(G302-F302)*E302</f>
        <v>0</v>
      </c>
      <c r="K302" s="32">
        <f>C302*0.9</f>
        <v>13.725</v>
      </c>
      <c r="L302" s="32">
        <f>K302*0.02</f>
        <v>0.27450000000000002</v>
      </c>
      <c r="M302" s="32"/>
      <c r="N302" s="32">
        <f>K302+L302</f>
        <v>13.999499999999999</v>
      </c>
      <c r="O302" s="32">
        <f>G302-F302</f>
        <v>3.25</v>
      </c>
      <c r="P302" s="32">
        <f>F302-N302</f>
        <v>3.0005000000000006</v>
      </c>
      <c r="Q302" s="33">
        <f>P302/N302</f>
        <v>0.21432908318154226</v>
      </c>
      <c r="R302" s="34" t="s">
        <v>396</v>
      </c>
      <c r="S302" s="35" t="s">
        <v>397</v>
      </c>
    </row>
    <row r="303" spans="1:19" ht="47" customHeight="1" thickBot="1">
      <c r="A303" s="229" t="s">
        <v>443</v>
      </c>
      <c r="B303" s="228"/>
      <c r="C303" s="25">
        <v>8</v>
      </c>
      <c r="D303" s="25">
        <v>5</v>
      </c>
      <c r="E303" s="38"/>
      <c r="F303" s="23">
        <v>9</v>
      </c>
      <c r="G303" s="27">
        <f>C303+D303</f>
        <v>13</v>
      </c>
      <c r="H303" s="28">
        <f>O303/G303</f>
        <v>0.30769230769230771</v>
      </c>
      <c r="I303" s="45">
        <f t="shared" si="163"/>
        <v>0</v>
      </c>
      <c r="J303" s="45">
        <f t="shared" si="164"/>
        <v>0</v>
      </c>
      <c r="K303" s="37">
        <f>C303*0.9</f>
        <v>7.2</v>
      </c>
      <c r="L303" s="25">
        <f>K303*0.02</f>
        <v>0.14400000000000002</v>
      </c>
      <c r="M303" s="25"/>
      <c r="N303" s="25">
        <f>K303+L303</f>
        <v>7.3440000000000003</v>
      </c>
      <c r="O303" s="25">
        <f>G303-F303</f>
        <v>4</v>
      </c>
      <c r="P303" s="25">
        <f>F303-N303</f>
        <v>1.6559999999999997</v>
      </c>
      <c r="Q303" s="29">
        <f>P303/N303</f>
        <v>0.22549019607843132</v>
      </c>
      <c r="R303" s="30" t="s">
        <v>396</v>
      </c>
      <c r="S303" s="31" t="s">
        <v>398</v>
      </c>
    </row>
    <row r="304" spans="1:19" ht="49" customHeight="1" thickBot="1">
      <c r="A304" s="227" t="s">
        <v>444</v>
      </c>
      <c r="B304" s="228"/>
      <c r="C304" s="32">
        <v>13.3</v>
      </c>
      <c r="D304" s="32">
        <v>5</v>
      </c>
      <c r="E304" s="38"/>
      <c r="F304" s="23">
        <v>14</v>
      </c>
      <c r="G304" s="27">
        <f>C304+D304</f>
        <v>18.3</v>
      </c>
      <c r="H304" s="28">
        <f>O304/G304</f>
        <v>0.23497267759562845</v>
      </c>
      <c r="I304" s="44">
        <f t="shared" si="163"/>
        <v>0</v>
      </c>
      <c r="J304" s="44">
        <f t="shared" si="164"/>
        <v>0</v>
      </c>
      <c r="K304" s="39">
        <f>C304*0.9</f>
        <v>11.97</v>
      </c>
      <c r="L304" s="32">
        <f>K304*0.02</f>
        <v>0.23940000000000003</v>
      </c>
      <c r="M304" s="32"/>
      <c r="N304" s="32">
        <f>K304+L304</f>
        <v>12.2094</v>
      </c>
      <c r="O304" s="32">
        <f>G304-F304</f>
        <v>4.3000000000000007</v>
      </c>
      <c r="P304" s="32">
        <f>F304-N304</f>
        <v>1.7905999999999995</v>
      </c>
      <c r="Q304" s="33">
        <f>P304/N304</f>
        <v>0.14665749340671938</v>
      </c>
      <c r="R304" s="34" t="s">
        <v>396</v>
      </c>
      <c r="S304" s="35" t="s">
        <v>399</v>
      </c>
    </row>
    <row r="305" spans="1:19" ht="52" customHeight="1" thickBot="1">
      <c r="A305" s="229" t="s">
        <v>445</v>
      </c>
      <c r="B305" s="228"/>
      <c r="C305" s="25">
        <v>106</v>
      </c>
      <c r="D305" s="25">
        <f>C305*0.1</f>
        <v>10.600000000000001</v>
      </c>
      <c r="E305" s="149"/>
      <c r="F305" s="23">
        <v>105</v>
      </c>
      <c r="G305" s="27">
        <f>C305+D305</f>
        <v>116.6</v>
      </c>
      <c r="H305" s="28">
        <f>O305/G305</f>
        <v>9.9485420240137179E-2</v>
      </c>
      <c r="I305" s="45">
        <f t="shared" si="163"/>
        <v>0</v>
      </c>
      <c r="J305" s="45">
        <f t="shared" si="164"/>
        <v>0</v>
      </c>
      <c r="K305" s="25">
        <f>C305*0.9</f>
        <v>95.4</v>
      </c>
      <c r="L305" s="25">
        <f>K305*0.02</f>
        <v>1.9080000000000001</v>
      </c>
      <c r="M305" s="25"/>
      <c r="N305" s="25">
        <f>K305+L305</f>
        <v>97.308000000000007</v>
      </c>
      <c r="O305" s="25">
        <f>G305-F305</f>
        <v>11.599999999999994</v>
      </c>
      <c r="P305" s="25">
        <f>F305-N305</f>
        <v>7.6919999999999931</v>
      </c>
      <c r="Q305" s="29">
        <f>P305/N305</f>
        <v>7.9047971389813704E-2</v>
      </c>
      <c r="R305" s="30" t="s">
        <v>396</v>
      </c>
      <c r="S305" s="31" t="s">
        <v>400</v>
      </c>
    </row>
    <row r="306" spans="1:19" ht="45" customHeight="1" thickBot="1">
      <c r="A306" s="227" t="s">
        <v>446</v>
      </c>
      <c r="B306" s="228"/>
      <c r="C306" s="32">
        <f>3.85*100</f>
        <v>385</v>
      </c>
      <c r="D306" s="32">
        <v>25</v>
      </c>
      <c r="E306" s="26"/>
      <c r="F306" s="23">
        <v>372</v>
      </c>
      <c r="G306" s="27">
        <f>C306+D306</f>
        <v>410</v>
      </c>
      <c r="H306" s="28">
        <f>O306/G306</f>
        <v>9.2682926829268292E-2</v>
      </c>
      <c r="I306" s="44">
        <f t="shared" si="163"/>
        <v>0</v>
      </c>
      <c r="J306" s="44">
        <f t="shared" si="164"/>
        <v>0</v>
      </c>
      <c r="K306" s="32">
        <f>C306*0.9</f>
        <v>346.5</v>
      </c>
      <c r="L306" s="32">
        <f>K306*0.02</f>
        <v>6.93</v>
      </c>
      <c r="M306" s="32"/>
      <c r="N306" s="32">
        <f>K306+L306</f>
        <v>353.43</v>
      </c>
      <c r="O306" s="32">
        <f>G306-F306</f>
        <v>38</v>
      </c>
      <c r="P306" s="32">
        <f>F306-N306</f>
        <v>18.569999999999993</v>
      </c>
      <c r="Q306" s="33">
        <f>P306/N306</f>
        <v>5.2542229012817229E-2</v>
      </c>
      <c r="R306" s="34" t="s">
        <v>396</v>
      </c>
      <c r="S306" s="35" t="s">
        <v>401</v>
      </c>
    </row>
    <row r="307" spans="1:19" ht="34" customHeight="1" thickBot="1">
      <c r="A307" s="281" t="s">
        <v>402</v>
      </c>
      <c r="B307" s="281"/>
      <c r="C307" s="99"/>
      <c r="D307" s="99"/>
      <c r="E307" s="101"/>
      <c r="F307" s="23"/>
      <c r="G307" s="24"/>
      <c r="H307" s="28"/>
      <c r="I307" s="44">
        <f t="shared" si="163"/>
        <v>0</v>
      </c>
      <c r="J307" s="44">
        <f t="shared" si="164"/>
        <v>0</v>
      </c>
      <c r="K307" s="90"/>
      <c r="L307" s="90"/>
      <c r="M307" s="90"/>
      <c r="N307" s="90"/>
      <c r="O307" s="90"/>
      <c r="P307" s="90"/>
      <c r="Q307" s="79"/>
      <c r="R307" s="100" t="s">
        <v>396</v>
      </c>
      <c r="S307" s="98"/>
    </row>
    <row r="308" spans="1:19" ht="91" customHeight="1">
      <c r="A308" s="225"/>
      <c r="B308" s="225"/>
      <c r="C308" s="225"/>
      <c r="D308" s="225"/>
      <c r="E308" s="225"/>
      <c r="F308" s="225"/>
      <c r="G308" s="225"/>
      <c r="H308" s="225"/>
      <c r="I308" s="225"/>
      <c r="J308" s="225"/>
      <c r="K308" s="225"/>
      <c r="L308" s="225"/>
      <c r="M308" s="225"/>
      <c r="N308" s="225"/>
      <c r="O308" s="225"/>
      <c r="P308" s="225"/>
      <c r="Q308" s="225"/>
      <c r="R308" s="225"/>
      <c r="S308" s="225"/>
    </row>
    <row r="309" spans="1:19" ht="48" customHeight="1" thickBot="1">
      <c r="A309" s="226" t="s">
        <v>483</v>
      </c>
      <c r="B309" s="226"/>
      <c r="C309" s="99"/>
      <c r="D309" s="99"/>
      <c r="E309" s="159"/>
      <c r="F309" s="160"/>
      <c r="G309" s="161"/>
      <c r="H309" s="162"/>
      <c r="I309" s="44"/>
      <c r="J309" s="44"/>
      <c r="K309" s="90"/>
      <c r="L309" s="90"/>
      <c r="M309" s="90"/>
      <c r="N309" s="90"/>
      <c r="O309" s="90"/>
      <c r="P309" s="90"/>
      <c r="Q309" s="79"/>
      <c r="R309" s="163"/>
      <c r="S309" s="164"/>
    </row>
    <row r="310" spans="1:19" ht="35" customHeight="1" thickBot="1">
      <c r="A310" s="227" t="s">
        <v>486</v>
      </c>
      <c r="B310" s="228"/>
      <c r="C310" s="32"/>
      <c r="D310" s="32"/>
      <c r="E310" s="26"/>
      <c r="F310" s="23">
        <v>8.66</v>
      </c>
      <c r="G310" s="27">
        <v>28</v>
      </c>
      <c r="H310" s="28">
        <f>(G310-F310)/G310</f>
        <v>0.69071428571428573</v>
      </c>
      <c r="I310" s="44">
        <f t="shared" ref="I310:I311" si="165">F310*E310</f>
        <v>0</v>
      </c>
      <c r="J310" s="44">
        <f t="shared" ref="J310:J311" si="166">(G310-F310)*E310</f>
        <v>0</v>
      </c>
      <c r="K310" s="32"/>
      <c r="L310" s="32"/>
      <c r="M310" s="32"/>
      <c r="N310" s="32"/>
      <c r="O310" s="32"/>
      <c r="P310" s="32"/>
      <c r="Q310" s="33"/>
      <c r="R310" s="34" t="s">
        <v>481</v>
      </c>
      <c r="S310" s="35" t="s">
        <v>485</v>
      </c>
    </row>
    <row r="311" spans="1:19" ht="17" thickBot="1">
      <c r="A311" s="229" t="s">
        <v>484</v>
      </c>
      <c r="B311" s="228"/>
      <c r="C311" s="25"/>
      <c r="D311" s="25"/>
      <c r="E311" s="38"/>
      <c r="F311" s="23">
        <v>11.67</v>
      </c>
      <c r="G311" s="27">
        <v>13.5</v>
      </c>
      <c r="H311" s="28">
        <f>(G311-F311)/G311</f>
        <v>0.13555555555555557</v>
      </c>
      <c r="I311" s="45">
        <f t="shared" si="165"/>
        <v>0</v>
      </c>
      <c r="J311" s="45">
        <f t="shared" si="166"/>
        <v>0</v>
      </c>
      <c r="K311" s="37"/>
      <c r="L311" s="25"/>
      <c r="M311" s="25"/>
      <c r="N311" s="25"/>
      <c r="O311" s="25"/>
      <c r="P311" s="25"/>
      <c r="Q311" s="29"/>
      <c r="R311" s="30" t="s">
        <v>481</v>
      </c>
      <c r="S311" s="171" t="s">
        <v>487</v>
      </c>
    </row>
    <row r="312" spans="1:19" ht="87" customHeight="1" thickBot="1">
      <c r="A312" s="282"/>
      <c r="B312" s="283"/>
      <c r="C312" s="283"/>
      <c r="D312" s="283"/>
      <c r="E312" s="283"/>
      <c r="F312" s="283"/>
      <c r="G312" s="283"/>
      <c r="H312" s="283"/>
      <c r="I312" s="283"/>
      <c r="J312" s="283"/>
      <c r="K312" s="283"/>
      <c r="L312" s="283"/>
      <c r="M312" s="283"/>
      <c r="N312" s="283"/>
      <c r="O312" s="283"/>
      <c r="P312" s="283"/>
      <c r="Q312" s="283"/>
      <c r="R312" s="283"/>
      <c r="S312" s="283"/>
    </row>
    <row r="313" spans="1:19" ht="148" customHeight="1" thickBot="1">
      <c r="A313" s="270" t="s">
        <v>459</v>
      </c>
      <c r="B313" s="228"/>
      <c r="C313" s="228"/>
      <c r="D313" s="228"/>
      <c r="E313" s="228"/>
      <c r="F313" s="228"/>
      <c r="G313" s="228"/>
      <c r="H313" s="228"/>
      <c r="I313" s="228"/>
      <c r="J313" s="228"/>
      <c r="K313" s="228"/>
      <c r="L313" s="228"/>
      <c r="M313" s="228"/>
      <c r="N313" s="228"/>
      <c r="O313" s="228"/>
      <c r="P313" s="228"/>
      <c r="Q313" s="228"/>
      <c r="R313" s="228"/>
      <c r="S313" s="284"/>
    </row>
    <row r="314" spans="1:19" ht="36" customHeight="1" thickTop="1" thickBot="1">
      <c r="A314" s="277" t="s">
        <v>2</v>
      </c>
      <c r="B314" s="278"/>
      <c r="C314" s="102"/>
      <c r="D314" s="102"/>
      <c r="E314" s="103" t="s">
        <v>403</v>
      </c>
      <c r="F314" s="104" t="s">
        <v>404</v>
      </c>
      <c r="G314" s="279" t="s">
        <v>405</v>
      </c>
      <c r="H314" s="278"/>
      <c r="I314" s="105" t="s">
        <v>0</v>
      </c>
      <c r="J314" s="106"/>
      <c r="K314" s="107"/>
      <c r="L314" s="107"/>
      <c r="M314" s="107"/>
      <c r="N314" s="107"/>
      <c r="O314" s="107"/>
      <c r="P314" s="107"/>
      <c r="Q314" s="108"/>
      <c r="R314" s="109" t="s">
        <v>16</v>
      </c>
      <c r="S314" s="156" t="s">
        <v>448</v>
      </c>
    </row>
    <row r="315" spans="1:19" ht="15.75" customHeight="1" thickBot="1">
      <c r="A315" s="285" t="s">
        <v>406</v>
      </c>
      <c r="B315" s="228"/>
      <c r="C315" s="110"/>
      <c r="D315" s="110"/>
      <c r="E315" s="22"/>
      <c r="F315" s="111">
        <v>5</v>
      </c>
      <c r="G315" s="112"/>
      <c r="H315" s="113"/>
      <c r="I315" s="113"/>
      <c r="J315" s="114"/>
      <c r="K315" s="110"/>
      <c r="L315" s="110"/>
      <c r="M315" s="110"/>
      <c r="N315" s="110"/>
      <c r="O315" s="110"/>
      <c r="P315" s="110"/>
      <c r="Q315" s="29"/>
      <c r="R315" s="115"/>
      <c r="S315" s="116"/>
    </row>
    <row r="316" spans="1:19" ht="15.75" customHeight="1" thickBot="1">
      <c r="A316" s="286"/>
      <c r="B316" s="228"/>
      <c r="C316" s="117"/>
      <c r="D316" s="117"/>
      <c r="E316" s="22"/>
      <c r="F316" s="118"/>
      <c r="G316" s="119"/>
      <c r="H316" s="120"/>
      <c r="I316" s="120"/>
      <c r="J316" s="121"/>
      <c r="K316" s="117"/>
      <c r="L316" s="117"/>
      <c r="M316" s="117"/>
      <c r="N316" s="117"/>
      <c r="O316" s="117"/>
      <c r="P316" s="117"/>
      <c r="Q316" s="122"/>
      <c r="R316" s="100"/>
      <c r="S316" s="123"/>
    </row>
    <row r="317" spans="1:19" ht="15.75" customHeight="1" thickBot="1">
      <c r="A317" s="285"/>
      <c r="B317" s="228"/>
      <c r="C317" s="110"/>
      <c r="D317" s="110"/>
      <c r="E317" s="22"/>
      <c r="F317" s="124"/>
      <c r="G317" s="112"/>
      <c r="H317" s="113"/>
      <c r="I317" s="113"/>
      <c r="J317" s="114"/>
      <c r="K317" s="110"/>
      <c r="L317" s="110"/>
      <c r="M317" s="110"/>
      <c r="N317" s="110"/>
      <c r="O317" s="110"/>
      <c r="P317" s="110"/>
      <c r="Q317" s="29"/>
      <c r="R317" s="115"/>
      <c r="S317" s="116"/>
    </row>
    <row r="318" spans="1:19" ht="15.75" customHeight="1" thickBot="1">
      <c r="A318" s="286"/>
      <c r="B318" s="228"/>
      <c r="C318" s="117"/>
      <c r="D318" s="117"/>
      <c r="E318" s="22"/>
      <c r="F318" s="118"/>
      <c r="G318" s="119"/>
      <c r="H318" s="120"/>
      <c r="I318" s="120"/>
      <c r="J318" s="121"/>
      <c r="K318" s="117"/>
      <c r="L318" s="117"/>
      <c r="M318" s="117"/>
      <c r="N318" s="117"/>
      <c r="O318" s="117"/>
      <c r="P318" s="117"/>
      <c r="Q318" s="122"/>
      <c r="R318" s="100"/>
      <c r="S318" s="123"/>
    </row>
    <row r="319" spans="1:19" ht="15.75" customHeight="1" thickBot="1">
      <c r="A319" s="285"/>
      <c r="B319" s="228"/>
      <c r="C319" s="110"/>
      <c r="D319" s="110"/>
      <c r="E319" s="22"/>
      <c r="F319" s="124"/>
      <c r="G319" s="112"/>
      <c r="H319" s="113"/>
      <c r="I319" s="113"/>
      <c r="J319" s="114"/>
      <c r="K319" s="110"/>
      <c r="L319" s="110"/>
      <c r="M319" s="110"/>
      <c r="N319" s="110"/>
      <c r="O319" s="110"/>
      <c r="P319" s="110"/>
      <c r="Q319" s="29"/>
      <c r="R319" s="115"/>
      <c r="S319" s="116"/>
    </row>
    <row r="320" spans="1:19" ht="15.75" customHeight="1" thickBot="1">
      <c r="A320" s="286"/>
      <c r="B320" s="228"/>
      <c r="C320" s="117"/>
      <c r="D320" s="117"/>
      <c r="E320" s="22"/>
      <c r="F320" s="118"/>
      <c r="G320" s="119"/>
      <c r="H320" s="120"/>
      <c r="I320" s="120"/>
      <c r="J320" s="121"/>
      <c r="K320" s="117"/>
      <c r="L320" s="117"/>
      <c r="M320" s="117"/>
      <c r="N320" s="117"/>
      <c r="O320" s="117"/>
      <c r="P320" s="117"/>
      <c r="Q320" s="122"/>
      <c r="R320" s="100"/>
      <c r="S320" s="123"/>
    </row>
    <row r="321" spans="1:19" ht="15.75" customHeight="1" thickBot="1">
      <c r="A321" s="285"/>
      <c r="B321" s="228"/>
      <c r="C321" s="110"/>
      <c r="D321" s="110"/>
      <c r="E321" s="22"/>
      <c r="F321" s="124"/>
      <c r="G321" s="112"/>
      <c r="H321" s="113"/>
      <c r="I321" s="113"/>
      <c r="J321" s="114"/>
      <c r="K321" s="110"/>
      <c r="L321" s="110"/>
      <c r="M321" s="110"/>
      <c r="N321" s="110"/>
      <c r="O321" s="110"/>
      <c r="P321" s="110"/>
      <c r="Q321" s="29"/>
      <c r="R321" s="115"/>
      <c r="S321" s="116"/>
    </row>
    <row r="322" spans="1:19" ht="15.75" customHeight="1" thickBot="1">
      <c r="A322" s="286"/>
      <c r="B322" s="228"/>
      <c r="C322" s="117"/>
      <c r="D322" s="117"/>
      <c r="E322" s="22"/>
      <c r="F322" s="118"/>
      <c r="G322" s="119"/>
      <c r="H322" s="120"/>
      <c r="I322" s="120"/>
      <c r="J322" s="121"/>
      <c r="K322" s="117"/>
      <c r="L322" s="117"/>
      <c r="M322" s="117"/>
      <c r="N322" s="117"/>
      <c r="O322" s="117"/>
      <c r="P322" s="117"/>
      <c r="Q322" s="122"/>
      <c r="R322" s="100"/>
      <c r="S322" s="123"/>
    </row>
    <row r="323" spans="1:19" ht="15.75" customHeight="1" thickBot="1">
      <c r="A323" s="285"/>
      <c r="B323" s="228"/>
      <c r="C323" s="110"/>
      <c r="D323" s="110"/>
      <c r="E323" s="22"/>
      <c r="F323" s="124"/>
      <c r="G323" s="112"/>
      <c r="H323" s="113"/>
      <c r="I323" s="113"/>
      <c r="J323" s="114"/>
      <c r="K323" s="110"/>
      <c r="L323" s="110"/>
      <c r="M323" s="110"/>
      <c r="N323" s="110"/>
      <c r="O323" s="110"/>
      <c r="P323" s="110"/>
      <c r="Q323" s="29"/>
      <c r="R323" s="115"/>
      <c r="S323" s="116"/>
    </row>
    <row r="324" spans="1:19" ht="15.75" customHeight="1" thickBot="1">
      <c r="A324" s="286"/>
      <c r="B324" s="228"/>
      <c r="C324" s="117"/>
      <c r="D324" s="117"/>
      <c r="E324" s="22"/>
      <c r="F324" s="118"/>
      <c r="G324" s="119"/>
      <c r="H324" s="120"/>
      <c r="I324" s="120"/>
      <c r="J324" s="121"/>
      <c r="K324" s="117"/>
      <c r="L324" s="117"/>
      <c r="M324" s="117"/>
      <c r="N324" s="117"/>
      <c r="O324" s="117"/>
      <c r="P324" s="117"/>
      <c r="Q324" s="122"/>
      <c r="R324" s="100"/>
      <c r="S324" s="123"/>
    </row>
    <row r="325" spans="1:19" ht="15.75" customHeight="1" thickBot="1">
      <c r="A325" s="285"/>
      <c r="B325" s="228"/>
      <c r="C325" s="110"/>
      <c r="D325" s="110"/>
      <c r="E325" s="22"/>
      <c r="F325" s="124"/>
      <c r="G325" s="112"/>
      <c r="H325" s="113"/>
      <c r="I325" s="113"/>
      <c r="J325" s="114"/>
      <c r="K325" s="110"/>
      <c r="L325" s="110"/>
      <c r="M325" s="110"/>
      <c r="N325" s="110"/>
      <c r="O325" s="110"/>
      <c r="P325" s="110"/>
      <c r="Q325" s="29"/>
      <c r="R325" s="115"/>
      <c r="S325" s="116"/>
    </row>
    <row r="326" spans="1:19" ht="15.75" customHeight="1" thickBot="1">
      <c r="A326" s="286"/>
      <c r="B326" s="228"/>
      <c r="C326" s="117"/>
      <c r="D326" s="117"/>
      <c r="E326" s="22"/>
      <c r="F326" s="118"/>
      <c r="G326" s="119"/>
      <c r="H326" s="120"/>
      <c r="I326" s="120"/>
      <c r="J326" s="121"/>
      <c r="K326" s="117"/>
      <c r="L326" s="117"/>
      <c r="M326" s="117"/>
      <c r="N326" s="117"/>
      <c r="O326" s="117"/>
      <c r="P326" s="117"/>
      <c r="Q326" s="122"/>
      <c r="R326" s="100"/>
      <c r="S326" s="123"/>
    </row>
    <row r="327" spans="1:19" ht="15.75" customHeight="1" thickBot="1">
      <c r="A327" s="285"/>
      <c r="B327" s="228"/>
      <c r="C327" s="110"/>
      <c r="D327" s="110"/>
      <c r="E327" s="22"/>
      <c r="F327" s="124"/>
      <c r="G327" s="112"/>
      <c r="H327" s="113"/>
      <c r="I327" s="113"/>
      <c r="J327" s="114"/>
      <c r="K327" s="110"/>
      <c r="L327" s="110"/>
      <c r="M327" s="110"/>
      <c r="N327" s="110"/>
      <c r="O327" s="110"/>
      <c r="P327" s="110"/>
      <c r="Q327" s="29"/>
      <c r="R327" s="115"/>
      <c r="S327" s="116"/>
    </row>
    <row r="328" spans="1:19" ht="15.75" customHeight="1" thickBot="1">
      <c r="A328" s="286"/>
      <c r="B328" s="228"/>
      <c r="C328" s="117"/>
      <c r="D328" s="117"/>
      <c r="E328" s="22"/>
      <c r="F328" s="118"/>
      <c r="G328" s="119"/>
      <c r="H328" s="120"/>
      <c r="I328" s="120"/>
      <c r="J328" s="121"/>
      <c r="K328" s="117"/>
      <c r="L328" s="117"/>
      <c r="M328" s="117"/>
      <c r="N328" s="117"/>
      <c r="O328" s="117"/>
      <c r="P328" s="117"/>
      <c r="Q328" s="122"/>
      <c r="R328" s="100"/>
      <c r="S328" s="123"/>
    </row>
    <row r="329" spans="1:19" s="165" customFormat="1" ht="15.75" customHeight="1" thickBot="1">
      <c r="A329" s="169"/>
      <c r="C329" s="117"/>
      <c r="D329" s="117"/>
      <c r="E329" s="101"/>
      <c r="F329" s="118"/>
      <c r="G329" s="119"/>
      <c r="H329" s="120"/>
      <c r="I329" s="120"/>
      <c r="J329" s="121"/>
      <c r="K329" s="117"/>
      <c r="L329" s="117"/>
      <c r="M329" s="117"/>
      <c r="N329" s="117"/>
      <c r="O329" s="117"/>
      <c r="P329" s="117"/>
      <c r="Q329" s="122"/>
      <c r="R329" s="100"/>
      <c r="S329" s="123"/>
    </row>
    <row r="330" spans="1:19" ht="15.75" customHeight="1" thickBot="1">
      <c r="A330" s="288" t="s">
        <v>0</v>
      </c>
      <c r="B330" s="289"/>
      <c r="C330" s="180"/>
      <c r="D330" s="180"/>
      <c r="E330" s="181">
        <f>I3</f>
        <v>0</v>
      </c>
      <c r="F330" s="173"/>
      <c r="G330" s="174"/>
      <c r="H330" s="175"/>
      <c r="I330" s="175"/>
      <c r="J330" s="176"/>
      <c r="K330" s="172"/>
      <c r="L330" s="172"/>
      <c r="M330" s="172"/>
      <c r="N330" s="172"/>
      <c r="O330" s="172"/>
      <c r="P330" s="172"/>
      <c r="Q330" s="177"/>
      <c r="R330" s="178"/>
      <c r="S330" s="179"/>
    </row>
    <row r="331" spans="1:19" ht="15.75" customHeight="1" thickTop="1">
      <c r="A331" s="125"/>
      <c r="B331" s="125"/>
      <c r="C331" s="126"/>
      <c r="D331" s="126"/>
      <c r="E331" s="125" t="s">
        <v>407</v>
      </c>
      <c r="F331" s="125"/>
      <c r="G331" s="290" t="s">
        <v>408</v>
      </c>
      <c r="H331" s="228"/>
      <c r="I331" s="228"/>
      <c r="J331" s="228"/>
      <c r="K331" s="90"/>
      <c r="L331" s="90"/>
      <c r="M331" s="90"/>
      <c r="N331" s="90"/>
      <c r="O331" s="90"/>
      <c r="P331" s="90"/>
      <c r="Q331" s="79"/>
      <c r="R331" s="127" t="s">
        <v>16</v>
      </c>
      <c r="S331" s="128"/>
    </row>
    <row r="332" spans="1:19" ht="15.75" customHeight="1">
      <c r="A332" s="129"/>
      <c r="B332" s="129"/>
      <c r="C332" s="99"/>
      <c r="D332" s="99"/>
      <c r="E332" s="130" t="s">
        <v>409</v>
      </c>
      <c r="F332" s="129"/>
      <c r="G332" s="287" t="s">
        <v>410</v>
      </c>
      <c r="H332" s="228"/>
      <c r="I332" s="228"/>
      <c r="J332" s="228"/>
      <c r="K332" s="90"/>
      <c r="L332" s="90"/>
      <c r="M332" s="90"/>
      <c r="N332" s="90"/>
      <c r="O332" s="90"/>
      <c r="P332" s="90"/>
      <c r="Q332" s="79"/>
      <c r="R332" s="131" t="s">
        <v>356</v>
      </c>
      <c r="S332" s="132"/>
    </row>
    <row r="333" spans="1:19" ht="15.75" customHeight="1">
      <c r="A333" s="129"/>
      <c r="B333" s="129"/>
      <c r="C333" s="99"/>
      <c r="D333" s="99"/>
      <c r="E333" s="130" t="s">
        <v>411</v>
      </c>
      <c r="F333" s="129"/>
      <c r="G333" s="287" t="s">
        <v>412</v>
      </c>
      <c r="H333" s="228"/>
      <c r="I333" s="228"/>
      <c r="J333" s="228"/>
      <c r="K333" s="90"/>
      <c r="L333" s="90"/>
      <c r="M333" s="90"/>
      <c r="N333" s="90"/>
      <c r="O333" s="90"/>
      <c r="P333" s="90"/>
      <c r="Q333" s="79"/>
      <c r="R333" s="131" t="s">
        <v>36</v>
      </c>
      <c r="S333" s="132"/>
    </row>
    <row r="334" spans="1:19" ht="15.75" customHeight="1">
      <c r="A334" s="129"/>
      <c r="B334" s="129"/>
      <c r="C334" s="99"/>
      <c r="D334" s="99"/>
      <c r="E334" s="130" t="s">
        <v>413</v>
      </c>
      <c r="F334" s="129"/>
      <c r="G334" s="287" t="s">
        <v>414</v>
      </c>
      <c r="H334" s="228"/>
      <c r="I334" s="228"/>
      <c r="J334" s="228"/>
      <c r="K334" s="90"/>
      <c r="L334" s="90"/>
      <c r="M334" s="90"/>
      <c r="N334" s="90"/>
      <c r="O334" s="90"/>
      <c r="P334" s="90"/>
      <c r="Q334" s="79"/>
      <c r="R334" s="131" t="s">
        <v>88</v>
      </c>
      <c r="S334" s="132"/>
    </row>
    <row r="335" spans="1:19" ht="15.75" customHeight="1">
      <c r="A335" s="129"/>
      <c r="B335" s="129"/>
      <c r="C335" s="99"/>
      <c r="D335" s="99"/>
      <c r="E335" s="130" t="s">
        <v>415</v>
      </c>
      <c r="F335" s="129"/>
      <c r="G335" s="287" t="s">
        <v>416</v>
      </c>
      <c r="H335" s="228"/>
      <c r="I335" s="228"/>
      <c r="J335" s="228"/>
      <c r="K335" s="90"/>
      <c r="L335" s="90"/>
      <c r="M335" s="90"/>
      <c r="N335" s="90"/>
      <c r="O335" s="90"/>
      <c r="P335" s="90"/>
      <c r="Q335" s="79"/>
      <c r="R335" s="131" t="s">
        <v>396</v>
      </c>
      <c r="S335" s="132"/>
    </row>
    <row r="336" spans="1:19" ht="15.75" customHeight="1">
      <c r="A336" s="129"/>
      <c r="B336" s="129"/>
      <c r="C336" s="99"/>
      <c r="D336" s="99"/>
      <c r="E336" s="130" t="s">
        <v>417</v>
      </c>
      <c r="F336" s="129"/>
      <c r="G336" s="287" t="s">
        <v>418</v>
      </c>
      <c r="H336" s="228"/>
      <c r="I336" s="228"/>
      <c r="J336" s="228"/>
      <c r="K336" s="90"/>
      <c r="L336" s="90"/>
      <c r="M336" s="90"/>
      <c r="N336" s="90"/>
      <c r="O336" s="90"/>
      <c r="P336" s="90"/>
      <c r="Q336" s="79"/>
      <c r="R336" s="131" t="s">
        <v>133</v>
      </c>
      <c r="S336" s="132"/>
    </row>
    <row r="337" spans="1:19" ht="15.75" customHeight="1">
      <c r="A337" s="129"/>
      <c r="B337" s="129"/>
      <c r="C337" s="99"/>
      <c r="D337" s="99"/>
      <c r="E337" s="130" t="s">
        <v>419</v>
      </c>
      <c r="F337" s="129"/>
      <c r="G337" s="287" t="s">
        <v>420</v>
      </c>
      <c r="H337" s="228"/>
      <c r="I337" s="228"/>
      <c r="J337" s="228"/>
      <c r="K337" s="90"/>
      <c r="L337" s="90"/>
      <c r="M337" s="90"/>
      <c r="N337" s="90"/>
      <c r="O337" s="90"/>
      <c r="P337" s="90"/>
      <c r="Q337" s="79"/>
      <c r="R337" s="131" t="s">
        <v>68</v>
      </c>
      <c r="S337" s="132"/>
    </row>
    <row r="338" spans="1:19" ht="15.75" customHeight="1">
      <c r="A338" s="129"/>
      <c r="B338" s="129"/>
      <c r="C338" s="99"/>
      <c r="D338" s="99"/>
      <c r="E338" s="130" t="s">
        <v>421</v>
      </c>
      <c r="F338" s="129"/>
      <c r="G338" s="287" t="s">
        <v>422</v>
      </c>
      <c r="H338" s="228"/>
      <c r="I338" s="228"/>
      <c r="J338" s="228"/>
      <c r="K338" s="90"/>
      <c r="L338" s="90"/>
      <c r="M338" s="90"/>
      <c r="N338" s="90"/>
      <c r="O338" s="90"/>
      <c r="P338" s="90"/>
      <c r="Q338" s="79"/>
      <c r="R338" s="131" t="s">
        <v>344</v>
      </c>
      <c r="S338" s="132"/>
    </row>
    <row r="339" spans="1:19" ht="15" customHeight="1">
      <c r="E339" s="1" t="s">
        <v>479</v>
      </c>
      <c r="G339" s="1" t="s">
        <v>478</v>
      </c>
      <c r="R339" s="1" t="s">
        <v>477</v>
      </c>
    </row>
    <row r="340" spans="1:19" ht="15" customHeight="1">
      <c r="E340" s="1" t="s">
        <v>480</v>
      </c>
      <c r="G340" s="1" t="s">
        <v>482</v>
      </c>
      <c r="R340" s="1" t="s">
        <v>481</v>
      </c>
    </row>
    <row r="344" spans="1:19" ht="57">
      <c r="A344" s="148"/>
    </row>
    <row r="346" spans="1:19" ht="57">
      <c r="A346" s="150"/>
    </row>
    <row r="348" spans="1:19" ht="56">
      <c r="A348" s="147"/>
    </row>
  </sheetData>
  <mergeCells count="378">
    <mergeCell ref="A302:B302"/>
    <mergeCell ref="A16:A21"/>
    <mergeCell ref="A241:B241"/>
    <mergeCell ref="A242:B242"/>
    <mergeCell ref="A243:B243"/>
    <mergeCell ref="A244:B244"/>
    <mergeCell ref="A245:B245"/>
    <mergeCell ref="A246:B246"/>
    <mergeCell ref="A254:B254"/>
    <mergeCell ref="A255:S255"/>
    <mergeCell ref="A247:B247"/>
    <mergeCell ref="A248:B248"/>
    <mergeCell ref="A249:B249"/>
    <mergeCell ref="A250:B250"/>
    <mergeCell ref="A251:B251"/>
    <mergeCell ref="A252:B252"/>
    <mergeCell ref="A253:B253"/>
    <mergeCell ref="A264:B264"/>
    <mergeCell ref="A265:B265"/>
    <mergeCell ref="A266:B266"/>
    <mergeCell ref="A267:B267"/>
    <mergeCell ref="R23:S23"/>
    <mergeCell ref="A324:B324"/>
    <mergeCell ref="A325:B325"/>
    <mergeCell ref="A326:B326"/>
    <mergeCell ref="G335:J335"/>
    <mergeCell ref="G336:J336"/>
    <mergeCell ref="G337:J337"/>
    <mergeCell ref="G338:J338"/>
    <mergeCell ref="A327:B327"/>
    <mergeCell ref="A328:B328"/>
    <mergeCell ref="A330:B330"/>
    <mergeCell ref="G331:J331"/>
    <mergeCell ref="G332:J332"/>
    <mergeCell ref="G333:J333"/>
    <mergeCell ref="G334:J334"/>
    <mergeCell ref="A315:B315"/>
    <mergeCell ref="A316:B316"/>
    <mergeCell ref="A317:B317"/>
    <mergeCell ref="A318:B318"/>
    <mergeCell ref="A319:B319"/>
    <mergeCell ref="A320:B320"/>
    <mergeCell ref="A321:B321"/>
    <mergeCell ref="A322:B322"/>
    <mergeCell ref="A323:B323"/>
    <mergeCell ref="A268:B268"/>
    <mergeCell ref="A269:B269"/>
    <mergeCell ref="A295:B295"/>
    <mergeCell ref="A314:B314"/>
    <mergeCell ref="G314:H314"/>
    <mergeCell ref="A296:B296"/>
    <mergeCell ref="A297:B297"/>
    <mergeCell ref="A298:B298"/>
    <mergeCell ref="A299:B299"/>
    <mergeCell ref="A300:B300"/>
    <mergeCell ref="A301:S301"/>
    <mergeCell ref="A303:B303"/>
    <mergeCell ref="A304:B304"/>
    <mergeCell ref="A305:B305"/>
    <mergeCell ref="A306:B306"/>
    <mergeCell ref="A307:B307"/>
    <mergeCell ref="A312:S312"/>
    <mergeCell ref="A313:S313"/>
    <mergeCell ref="A287:B287"/>
    <mergeCell ref="A288:B288"/>
    <mergeCell ref="A285:B285"/>
    <mergeCell ref="A276:B276"/>
    <mergeCell ref="A277:B277"/>
    <mergeCell ref="A278:B278"/>
    <mergeCell ref="A217:B217"/>
    <mergeCell ref="A218:B218"/>
    <mergeCell ref="A256:B256"/>
    <mergeCell ref="A257:B257"/>
    <mergeCell ref="A258:B258"/>
    <mergeCell ref="A259:B259"/>
    <mergeCell ref="A260:B260"/>
    <mergeCell ref="A261:B261"/>
    <mergeCell ref="A263:B263"/>
    <mergeCell ref="A219:B219"/>
    <mergeCell ref="A220:B220"/>
    <mergeCell ref="A221:B221"/>
    <mergeCell ref="A222:B222"/>
    <mergeCell ref="A223:B223"/>
    <mergeCell ref="A224:B224"/>
    <mergeCell ref="A225:B225"/>
    <mergeCell ref="A226:B226"/>
    <mergeCell ref="A227:B227"/>
    <mergeCell ref="A228:B228"/>
    <mergeCell ref="A233:B233"/>
    <mergeCell ref="A234:B234"/>
    <mergeCell ref="A238:S238"/>
    <mergeCell ref="A239:B239"/>
    <mergeCell ref="A240:B240"/>
    <mergeCell ref="A208:B208"/>
    <mergeCell ref="A209:B209"/>
    <mergeCell ref="A210:B210"/>
    <mergeCell ref="A211:B211"/>
    <mergeCell ref="A212:B212"/>
    <mergeCell ref="A213:B213"/>
    <mergeCell ref="A214:B214"/>
    <mergeCell ref="A215:B215"/>
    <mergeCell ref="A216:B216"/>
    <mergeCell ref="A199:B199"/>
    <mergeCell ref="A200:B200"/>
    <mergeCell ref="A201:B201"/>
    <mergeCell ref="A202:B202"/>
    <mergeCell ref="A203:B203"/>
    <mergeCell ref="A204:B204"/>
    <mergeCell ref="A205:B205"/>
    <mergeCell ref="A206:B206"/>
    <mergeCell ref="A207:B207"/>
    <mergeCell ref="A190:B190"/>
    <mergeCell ref="A191:B191"/>
    <mergeCell ref="A192:B192"/>
    <mergeCell ref="A193:B193"/>
    <mergeCell ref="A194:B194"/>
    <mergeCell ref="A195:B195"/>
    <mergeCell ref="A196:B196"/>
    <mergeCell ref="A197:B197"/>
    <mergeCell ref="A198:B198"/>
    <mergeCell ref="A181:B181"/>
    <mergeCell ref="A182:B182"/>
    <mergeCell ref="A183:B183"/>
    <mergeCell ref="A184:B184"/>
    <mergeCell ref="A185:B185"/>
    <mergeCell ref="A186:B186"/>
    <mergeCell ref="A187:B187"/>
    <mergeCell ref="A188:B188"/>
    <mergeCell ref="A189:B189"/>
    <mergeCell ref="A172:B172"/>
    <mergeCell ref="A173:B173"/>
    <mergeCell ref="A174:B174"/>
    <mergeCell ref="A175:B175"/>
    <mergeCell ref="A176:B176"/>
    <mergeCell ref="A177:B177"/>
    <mergeCell ref="A178:B178"/>
    <mergeCell ref="A179:B179"/>
    <mergeCell ref="A180:B180"/>
    <mergeCell ref="A163:B163"/>
    <mergeCell ref="A164:B164"/>
    <mergeCell ref="A165:B165"/>
    <mergeCell ref="A166:B166"/>
    <mergeCell ref="A167:B167"/>
    <mergeCell ref="A168:B168"/>
    <mergeCell ref="A169:B169"/>
    <mergeCell ref="A170:B170"/>
    <mergeCell ref="A171:B171"/>
    <mergeCell ref="A151:B151"/>
    <mergeCell ref="A152:B152"/>
    <mergeCell ref="A160:B160"/>
    <mergeCell ref="A161:B161"/>
    <mergeCell ref="A162:S162"/>
    <mergeCell ref="A153:B153"/>
    <mergeCell ref="A154:B154"/>
    <mergeCell ref="A155:B155"/>
    <mergeCell ref="A156:B156"/>
    <mergeCell ref="A157:B157"/>
    <mergeCell ref="A158:B158"/>
    <mergeCell ref="A159:B159"/>
    <mergeCell ref="A142:B142"/>
    <mergeCell ref="A143:B143"/>
    <mergeCell ref="A144:B144"/>
    <mergeCell ref="A145:B145"/>
    <mergeCell ref="A146:B146"/>
    <mergeCell ref="A147:B147"/>
    <mergeCell ref="A148:B148"/>
    <mergeCell ref="A149:B149"/>
    <mergeCell ref="A150:B150"/>
    <mergeCell ref="A133:B133"/>
    <mergeCell ref="A134:B134"/>
    <mergeCell ref="A135:B135"/>
    <mergeCell ref="A136:B136"/>
    <mergeCell ref="A137:B137"/>
    <mergeCell ref="A138:B138"/>
    <mergeCell ref="A139:B139"/>
    <mergeCell ref="A140:B140"/>
    <mergeCell ref="A141:B141"/>
    <mergeCell ref="A124:B124"/>
    <mergeCell ref="A125:B125"/>
    <mergeCell ref="A126:B126"/>
    <mergeCell ref="A127:B127"/>
    <mergeCell ref="A128:B128"/>
    <mergeCell ref="A129:B129"/>
    <mergeCell ref="A130:B130"/>
    <mergeCell ref="A131:B131"/>
    <mergeCell ref="A132:B132"/>
    <mergeCell ref="A115:B115"/>
    <mergeCell ref="A116:B116"/>
    <mergeCell ref="A117:B117"/>
    <mergeCell ref="A118:B118"/>
    <mergeCell ref="A119:B119"/>
    <mergeCell ref="A120:B120"/>
    <mergeCell ref="A121:B121"/>
    <mergeCell ref="A122:B122"/>
    <mergeCell ref="A123:B123"/>
    <mergeCell ref="A88:B88"/>
    <mergeCell ref="A89:B89"/>
    <mergeCell ref="A90:B90"/>
    <mergeCell ref="A91:B91"/>
    <mergeCell ref="A92:B92"/>
    <mergeCell ref="A93:B93"/>
    <mergeCell ref="A101:B101"/>
    <mergeCell ref="A102:B102"/>
    <mergeCell ref="A103:S103"/>
    <mergeCell ref="A94:B94"/>
    <mergeCell ref="A95:B95"/>
    <mergeCell ref="A96:B96"/>
    <mergeCell ref="A97:B97"/>
    <mergeCell ref="A98:B98"/>
    <mergeCell ref="A99:B99"/>
    <mergeCell ref="A100:B100"/>
    <mergeCell ref="A67:B67"/>
    <mergeCell ref="A68:B68"/>
    <mergeCell ref="A69:B69"/>
    <mergeCell ref="A70:B70"/>
    <mergeCell ref="A71:B71"/>
    <mergeCell ref="A73:B73"/>
    <mergeCell ref="A74:B74"/>
    <mergeCell ref="A75:B75"/>
    <mergeCell ref="I202:J202"/>
    <mergeCell ref="I163:J163"/>
    <mergeCell ref="I123:J123"/>
    <mergeCell ref="I104:J104"/>
    <mergeCell ref="A76:B76"/>
    <mergeCell ref="A77:B77"/>
    <mergeCell ref="A78:B78"/>
    <mergeCell ref="A79:B79"/>
    <mergeCell ref="A80:B80"/>
    <mergeCell ref="A81:B81"/>
    <mergeCell ref="A82:B82"/>
    <mergeCell ref="A83:B83"/>
    <mergeCell ref="A84:B84"/>
    <mergeCell ref="A85:B85"/>
    <mergeCell ref="A86:B86"/>
    <mergeCell ref="A87:B87"/>
    <mergeCell ref="A49:B49"/>
    <mergeCell ref="A65:B65"/>
    <mergeCell ref="A66:B66"/>
    <mergeCell ref="A59:B59"/>
    <mergeCell ref="A60:B60"/>
    <mergeCell ref="A62:B62"/>
    <mergeCell ref="A63:B63"/>
    <mergeCell ref="A64:B64"/>
    <mergeCell ref="A58:B58"/>
    <mergeCell ref="A1:S1"/>
    <mergeCell ref="A3:B3"/>
    <mergeCell ref="B11:R11"/>
    <mergeCell ref="B15:R15"/>
    <mergeCell ref="A22:S22"/>
    <mergeCell ref="A11:A15"/>
    <mergeCell ref="A23:B23"/>
    <mergeCell ref="A4:S4"/>
    <mergeCell ref="I23:J23"/>
    <mergeCell ref="K23:L23"/>
    <mergeCell ref="M23:N23"/>
    <mergeCell ref="F20:S20"/>
    <mergeCell ref="A5:A10"/>
    <mergeCell ref="A42:B42"/>
    <mergeCell ref="A43:B43"/>
    <mergeCell ref="A44:B44"/>
    <mergeCell ref="A45:B45"/>
    <mergeCell ref="A46:B46"/>
    <mergeCell ref="A47:B47"/>
    <mergeCell ref="A48:B48"/>
    <mergeCell ref="A24:B24"/>
    <mergeCell ref="A25:B25"/>
    <mergeCell ref="A26:B26"/>
    <mergeCell ref="A27:B27"/>
    <mergeCell ref="A28:B28"/>
    <mergeCell ref="A29:B29"/>
    <mergeCell ref="A30:B30"/>
    <mergeCell ref="A31:B31"/>
    <mergeCell ref="A32:B32"/>
    <mergeCell ref="O202:P202"/>
    <mergeCell ref="Q202:R202"/>
    <mergeCell ref="I193:J193"/>
    <mergeCell ref="K193:L193"/>
    <mergeCell ref="M193:N193"/>
    <mergeCell ref="O193:P193"/>
    <mergeCell ref="Q193:R193"/>
    <mergeCell ref="A33:B33"/>
    <mergeCell ref="A50:B50"/>
    <mergeCell ref="A51:B51"/>
    <mergeCell ref="A52:B52"/>
    <mergeCell ref="A53:B53"/>
    <mergeCell ref="A54:B54"/>
    <mergeCell ref="A55:B55"/>
    <mergeCell ref="A56:B56"/>
    <mergeCell ref="A57:B57"/>
    <mergeCell ref="A34:B34"/>
    <mergeCell ref="A35:B35"/>
    <mergeCell ref="A36:B36"/>
    <mergeCell ref="A37:B37"/>
    <mergeCell ref="A38:B38"/>
    <mergeCell ref="A39:B39"/>
    <mergeCell ref="A40:B40"/>
    <mergeCell ref="A41:B41"/>
    <mergeCell ref="O163:P163"/>
    <mergeCell ref="Q163:R163"/>
    <mergeCell ref="I145:J145"/>
    <mergeCell ref="K145:L145"/>
    <mergeCell ref="M145:N145"/>
    <mergeCell ref="O145:P145"/>
    <mergeCell ref="Q145:R145"/>
    <mergeCell ref="K123:L123"/>
    <mergeCell ref="M123:N123"/>
    <mergeCell ref="O123:P123"/>
    <mergeCell ref="Q123:R123"/>
    <mergeCell ref="I42:J42"/>
    <mergeCell ref="K42:L42"/>
    <mergeCell ref="M42:N42"/>
    <mergeCell ref="O42:P42"/>
    <mergeCell ref="Q42:R42"/>
    <mergeCell ref="I115:J115"/>
    <mergeCell ref="K115:L115"/>
    <mergeCell ref="M115:N115"/>
    <mergeCell ref="O115:P115"/>
    <mergeCell ref="Q115:R115"/>
    <mergeCell ref="O104:P104"/>
    <mergeCell ref="Q104:R104"/>
    <mergeCell ref="I86:J86"/>
    <mergeCell ref="K86:L86"/>
    <mergeCell ref="M86:N86"/>
    <mergeCell ref="O86:P86"/>
    <mergeCell ref="Q86:R86"/>
    <mergeCell ref="I56:J56"/>
    <mergeCell ref="K56:L56"/>
    <mergeCell ref="M56:N56"/>
    <mergeCell ref="O56:P56"/>
    <mergeCell ref="Q56:R56"/>
    <mergeCell ref="A281:B281"/>
    <mergeCell ref="A282:B282"/>
    <mergeCell ref="A283:B283"/>
    <mergeCell ref="A284:B284"/>
    <mergeCell ref="A289:B289"/>
    <mergeCell ref="A290:B290"/>
    <mergeCell ref="A291:B291"/>
    <mergeCell ref="K104:L104"/>
    <mergeCell ref="M104:N104"/>
    <mergeCell ref="K163:L163"/>
    <mergeCell ref="M163:N163"/>
    <mergeCell ref="K202:L202"/>
    <mergeCell ref="M202:N202"/>
    <mergeCell ref="A104:B104"/>
    <mergeCell ref="A105:B105"/>
    <mergeCell ref="A106:B106"/>
    <mergeCell ref="A107:B107"/>
    <mergeCell ref="A108:B108"/>
    <mergeCell ref="A109:B109"/>
    <mergeCell ref="A110:B110"/>
    <mergeCell ref="A111:B111"/>
    <mergeCell ref="A112:B112"/>
    <mergeCell ref="A113:B113"/>
    <mergeCell ref="A114:B114"/>
    <mergeCell ref="A72:S72"/>
    <mergeCell ref="A308:S308"/>
    <mergeCell ref="A309:B309"/>
    <mergeCell ref="A310:B310"/>
    <mergeCell ref="A311:B311"/>
    <mergeCell ref="I223:J223"/>
    <mergeCell ref="I239:J239"/>
    <mergeCell ref="I246:J246"/>
    <mergeCell ref="I256:J256"/>
    <mergeCell ref="I263:J263"/>
    <mergeCell ref="I295:J295"/>
    <mergeCell ref="A270:B270"/>
    <mergeCell ref="A271:B271"/>
    <mergeCell ref="A272:B272"/>
    <mergeCell ref="A273:B273"/>
    <mergeCell ref="A274:B274"/>
    <mergeCell ref="A286:B286"/>
    <mergeCell ref="A294:B294"/>
    <mergeCell ref="A275:B275"/>
    <mergeCell ref="I282:J282"/>
    <mergeCell ref="A292:B292"/>
    <mergeCell ref="A293:B293"/>
    <mergeCell ref="A279:B279"/>
    <mergeCell ref="A280:B280"/>
  </mergeCells>
  <phoneticPr fontId="29" type="noConversion"/>
  <dataValidations count="4">
    <dataValidation type="list" allowBlank="1" showInputMessage="1" showErrorMessage="1" prompt="Enter one of the vendor codes listed below." sqref="R315:R330">
      <formula1>$R$332:$R$340</formula1>
    </dataValidation>
    <dataValidation type="list" allowBlank="1" showInputMessage="1" showErrorMessage="1" prompt="Please select one of our 2 pickup locations." sqref="E19">
      <formula1>"Ghent (Hawthorne Valley Farm),High Falls (Tributary Farm)"</formula1>
    </dataValidation>
    <dataValidation type="list" allowBlank="1" showInputMessage="1" showErrorMessage="1" prompt="Please select one of our 2 pickup locations." sqref="E20">
      <formula1>"Online Bank Transfer - Free,Credit Card - 3.5% Fee Applies"</formula1>
    </dataValidation>
    <dataValidation type="list" allowBlank="1" showInputMessage="1" showErrorMessage="1" sqref="E21">
      <formula1>"Yes,No"</formula1>
    </dataValidation>
  </dataValidations>
  <hyperlinks>
    <hyperlink ref="G332" r:id="rId1"/>
    <hyperlink ref="G333" r:id="rId2"/>
    <hyperlink ref="G334" r:id="rId3"/>
    <hyperlink ref="G335" r:id="rId4"/>
    <hyperlink ref="G336" r:id="rId5"/>
    <hyperlink ref="G337" r:id="rId6"/>
    <hyperlink ref="G338" r:id="rId7"/>
    <hyperlink ref="B6" location="A162" display="Agricultural Fabrics"/>
    <hyperlink ref="B7" location="A261" display="Cartons and Boxes"/>
    <hyperlink ref="B8" r:id="rId8"/>
    <hyperlink ref="B9" location="A297" display="Greenhouse"/>
    <hyperlink ref="B10" location="A192" display="Ground Cover"/>
    <hyperlink ref="E6" location="A291" display="Hygeine Supplies"/>
    <hyperlink ref="E7" location="A102" display="Irrigation"/>
    <hyperlink ref="E8" location="A238" display="Paper Pots"/>
    <hyperlink ref="E9" location="A144" display="Plastic Mulch"/>
    <hyperlink ref="E10" location="A245" display="Silage Tarps"/>
    <hyperlink ref="J6" location="A201" display="Trellising Suppies"/>
    <hyperlink ref="J8" location="A304" display="Special Order"/>
    <hyperlink ref="J5" location="A223" display="Sprays &amp; Controls"/>
    <hyperlink ref="E5" location="A255" display="Harvest Containers"/>
    <hyperlink ref="B5" location="'Order Sheet'!A16" display="Amendments"/>
    <hyperlink ref="J7" location="A308" display="Wish List Items"/>
  </hyperlinks>
  <pageMargins left="0.75" right="0.75" top="1" bottom="1" header="0" footer="0"/>
  <pageSetup orientation="landscape"/>
  <ignoredErrors>
    <ignoredError sqref="J3 I43 I70" emptyCellReference="1"/>
  </ignoredErrors>
  <drawing r:id="rId9"/>
  <legacyDrawing r:id="rId10"/>
  <mc:AlternateContent xmlns:mc="http://schemas.openxmlformats.org/markup-compatibility/2006">
    <mc:Choice Requires="x14">
      <controls>
        <mc:AlternateContent xmlns:mc="http://schemas.openxmlformats.org/markup-compatibility/2006">
          <mc:Choice Requires="x14">
            <control shapeId="1028" r:id="rId11" name="Check Box 4">
              <controlPr defaultSize="0" autoFill="0" autoLine="0" autoPict="0">
                <anchor moveWithCells="1">
                  <from>
                    <xdr:col>18</xdr:col>
                    <xdr:colOff>736600</xdr:colOff>
                    <xdr:row>10</xdr:row>
                    <xdr:rowOff>152400</xdr:rowOff>
                  </from>
                  <to>
                    <xdr:col>19</xdr:col>
                    <xdr:colOff>152400</xdr:colOff>
                    <xdr:row>11</xdr:row>
                    <xdr:rowOff>152400</xdr:rowOff>
                  </to>
                </anchor>
              </controlPr>
            </control>
          </mc:Choice>
          <mc:Fallback/>
        </mc:AlternateContent>
        <mc:AlternateContent xmlns:mc="http://schemas.openxmlformats.org/markup-compatibility/2006">
          <mc:Choice Requires="x14">
            <control shapeId="1029" r:id="rId12" name="Check Box 5">
              <controlPr defaultSize="0" autoFill="0" autoLine="0" autoPict="0">
                <anchor moveWithCells="1">
                  <from>
                    <xdr:col>18</xdr:col>
                    <xdr:colOff>736600</xdr:colOff>
                    <xdr:row>11</xdr:row>
                    <xdr:rowOff>165100</xdr:rowOff>
                  </from>
                  <to>
                    <xdr:col>19</xdr:col>
                    <xdr:colOff>152400</xdr:colOff>
                    <xdr:row>12</xdr:row>
                    <xdr:rowOff>177800</xdr:rowOff>
                  </to>
                </anchor>
              </controlPr>
            </control>
          </mc:Choice>
          <mc:Fallback/>
        </mc:AlternateContent>
        <mc:AlternateContent xmlns:mc="http://schemas.openxmlformats.org/markup-compatibility/2006">
          <mc:Choice Requires="x14">
            <control shapeId="1030" r:id="rId13" name="Check Box 6">
              <controlPr defaultSize="0" autoFill="0" autoLine="0" autoPict="0">
                <anchor moveWithCells="1">
                  <from>
                    <xdr:col>18</xdr:col>
                    <xdr:colOff>736600</xdr:colOff>
                    <xdr:row>12</xdr:row>
                    <xdr:rowOff>177800</xdr:rowOff>
                  </from>
                  <to>
                    <xdr:col>19</xdr:col>
                    <xdr:colOff>152400</xdr:colOff>
                    <xdr:row>13</xdr:row>
                    <xdr:rowOff>190500</xdr:rowOff>
                  </to>
                </anchor>
              </controlPr>
            </control>
          </mc:Choice>
          <mc:Fallback/>
        </mc:AlternateContent>
        <mc:AlternateContent xmlns:mc="http://schemas.openxmlformats.org/markup-compatibility/2006">
          <mc:Choice Requires="x14">
            <control shapeId="1031" r:id="rId14" name="Check Box 7">
              <controlPr defaultSize="0" autoFill="0" autoLine="0" autoPict="0">
                <anchor moveWithCells="1">
                  <from>
                    <xdr:col>18</xdr:col>
                    <xdr:colOff>736600</xdr:colOff>
                    <xdr:row>14</xdr:row>
                    <xdr:rowOff>0</xdr:rowOff>
                  </from>
                  <to>
                    <xdr:col>19</xdr:col>
                    <xdr:colOff>152400</xdr:colOff>
                    <xdr:row>14</xdr:row>
                    <xdr:rowOff>215900</xdr:rowOff>
                  </to>
                </anchor>
              </controlPr>
            </control>
          </mc:Choice>
          <mc:Fallback/>
        </mc:AlternateContent>
      </controls>
    </mc:Choice>
    <mc:Fallback/>
  </mc:AlternateContent>
  <tableParts count="2">
    <tablePart r:id="rId15"/>
    <tablePart r:id="rId16"/>
  </tablePart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Order 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Faith Gilbert</cp:lastModifiedBy>
  <cp:lastPrinted>2021-01-07T19:04:51Z</cp:lastPrinted>
  <dcterms:created xsi:type="dcterms:W3CDTF">2020-12-31T21:22:45Z</dcterms:created>
  <dcterms:modified xsi:type="dcterms:W3CDTF">2021-01-07T19:05:24Z</dcterms:modified>
</cp:coreProperties>
</file>